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ksii/kerriline/uz-location/src/main/resources/"/>
    </mc:Choice>
  </mc:AlternateContent>
  <xr:revisionPtr revIDLastSave="0" documentId="13_ncr:1_{59AE50F1-724E-5344-B0C0-6C3C3E5A0FB7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Результат" sheetId="1" r:id="rId1"/>
    <sheet name="Полувагоны" sheetId="2" r:id="rId2"/>
    <sheet name="Вагоны" sheetId="3" r:id="rId3"/>
    <sheet name="Не полувагоны" sheetId="4" r:id="rId4"/>
    <sheet name="Инструкция" sheetId="5" r:id="rId5"/>
    <sheet name="Соответствие2" sheetId="7" state="hidden" r:id="rId6"/>
  </sheets>
  <definedNames>
    <definedName name="_xlnm._FilterDatabase" localSheetId="2" hidden="1">Вагоны!$A$2:$D$2</definedName>
    <definedName name="_xlnm._FilterDatabase" localSheetId="3" hidden="1">'Не полувагоны'!$A$3:$AS$575</definedName>
    <definedName name="_xlnm._FilterDatabase" localSheetId="1" hidden="1">Полувагоны!$A$3:$AS$204</definedName>
    <definedName name="_xlnm._FilterDatabase" localSheetId="0" hidden="1">Результат!$A$3:$AI$3</definedName>
    <definedName name="_xlnm._FilterDatabase" localSheetId="5" hidden="1">Соответствие2!$A$1:$D$78</definedName>
    <definedName name="Z_8DD274BA_7711_434E_BA5B_5A3C3CA953AD_.wvu.FilterData" localSheetId="0" hidden="1">Результат!$A$3:$AI$3</definedName>
    <definedName name="Z_EE108735_F011_40B2_BD14_38E8F8DDC1B4_.wvu.FilterData" localSheetId="2" hidden="1">Вагоны!$A$2:$D$2</definedName>
  </definedNames>
  <calcPr calcId="191029"/>
  <customWorkbookViews>
    <customWorkbookView name="Сорт по ваг" guid="{EE108735-F011-40B2-BD14-38E8F8DDC1B4}" maximized="1" windowWidth="0" windowHeight="0" activeSheetId="0"/>
    <customWorkbookView name="Фільтр 1" guid="{8DD274BA-7711-434E-BA5B-5A3C3CA953A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4" l="1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AI440" i="4"/>
  <c r="AH440" i="4"/>
  <c r="AG440" i="4"/>
  <c r="AF440" i="4"/>
  <c r="AE440" i="4"/>
  <c r="AD440" i="4"/>
  <c r="AC440" i="4"/>
  <c r="AB440" i="4"/>
  <c r="AA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AI439" i="4"/>
  <c r="AH439" i="4"/>
  <c r="AG439" i="4"/>
  <c r="AF439" i="4"/>
  <c r="AE439" i="4"/>
  <c r="AD439" i="4"/>
  <c r="AC439" i="4"/>
  <c r="AB439" i="4"/>
  <c r="AA439" i="4"/>
  <c r="U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AI438" i="4"/>
  <c r="AH438" i="4"/>
  <c r="AG438" i="4"/>
  <c r="AF438" i="4"/>
  <c r="AE438" i="4"/>
  <c r="AD438" i="4"/>
  <c r="AC438" i="4"/>
  <c r="AB438" i="4"/>
  <c r="AA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AI437" i="4"/>
  <c r="AH437" i="4"/>
  <c r="AG437" i="4"/>
  <c r="AF437" i="4"/>
  <c r="AE437" i="4"/>
  <c r="AD437" i="4"/>
  <c r="AC437" i="4"/>
  <c r="AB437" i="4"/>
  <c r="AA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AI436" i="4"/>
  <c r="AH436" i="4"/>
  <c r="AG436" i="4"/>
  <c r="AF436" i="4"/>
  <c r="AE436" i="4"/>
  <c r="AD436" i="4"/>
  <c r="AC436" i="4"/>
  <c r="AB436" i="4"/>
  <c r="AA436" i="4"/>
  <c r="U436" i="4"/>
  <c r="T436" i="4"/>
  <c r="S436" i="4"/>
  <c r="R436" i="4"/>
  <c r="Q436" i="4"/>
  <c r="P436" i="4"/>
  <c r="O436" i="4"/>
  <c r="N436" i="4"/>
  <c r="M436" i="4"/>
  <c r="L436" i="4"/>
  <c r="K436" i="4"/>
  <c r="I436" i="4"/>
  <c r="H436" i="4"/>
  <c r="G436" i="4"/>
  <c r="F436" i="4"/>
  <c r="E436" i="4"/>
  <c r="D436" i="4"/>
  <c r="C436" i="4"/>
  <c r="B436" i="4"/>
  <c r="A436" i="4"/>
  <c r="AI435" i="4"/>
  <c r="AH435" i="4"/>
  <c r="AG435" i="4"/>
  <c r="AF435" i="4"/>
  <c r="AE435" i="4"/>
  <c r="AD435" i="4"/>
  <c r="AC435" i="4"/>
  <c r="AB435" i="4"/>
  <c r="AA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AI434" i="4"/>
  <c r="AH434" i="4"/>
  <c r="AG434" i="4"/>
  <c r="AF434" i="4"/>
  <c r="AE434" i="4"/>
  <c r="AD434" i="4"/>
  <c r="AC434" i="4"/>
  <c r="AB434" i="4"/>
  <c r="AA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AI433" i="4"/>
  <c r="AH433" i="4"/>
  <c r="AG433" i="4"/>
  <c r="AF433" i="4"/>
  <c r="AE433" i="4"/>
  <c r="AD433" i="4"/>
  <c r="AC433" i="4"/>
  <c r="AB433" i="4"/>
  <c r="AA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AI432" i="4"/>
  <c r="AH432" i="4"/>
  <c r="AG432" i="4"/>
  <c r="AF432" i="4"/>
  <c r="AE432" i="4"/>
  <c r="AD432" i="4"/>
  <c r="AC432" i="4"/>
  <c r="AB432" i="4"/>
  <c r="AA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AI431" i="4"/>
  <c r="AH431" i="4"/>
  <c r="AG431" i="4"/>
  <c r="AF431" i="4"/>
  <c r="AE431" i="4"/>
  <c r="AD431" i="4"/>
  <c r="AC431" i="4"/>
  <c r="AB431" i="4"/>
  <c r="AA431" i="4"/>
  <c r="U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AI430" i="4"/>
  <c r="AH430" i="4"/>
  <c r="AG430" i="4"/>
  <c r="AF430" i="4"/>
  <c r="AE430" i="4"/>
  <c r="AD430" i="4"/>
  <c r="AC430" i="4"/>
  <c r="AB430" i="4"/>
  <c r="AA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AI429" i="4"/>
  <c r="AH429" i="4"/>
  <c r="AG429" i="4"/>
  <c r="AF429" i="4"/>
  <c r="AE429" i="4"/>
  <c r="AD429" i="4"/>
  <c r="AC429" i="4"/>
  <c r="AB429" i="4"/>
  <c r="AA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AI428" i="4"/>
  <c r="AH428" i="4"/>
  <c r="AG428" i="4"/>
  <c r="AF428" i="4"/>
  <c r="AE428" i="4"/>
  <c r="AD428" i="4"/>
  <c r="AC428" i="4"/>
  <c r="AB428" i="4"/>
  <c r="AA428" i="4"/>
  <c r="U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AI427" i="4"/>
  <c r="AH427" i="4"/>
  <c r="AG427" i="4"/>
  <c r="AF427" i="4"/>
  <c r="AE427" i="4"/>
  <c r="AD427" i="4"/>
  <c r="AC427" i="4"/>
  <c r="AB427" i="4"/>
  <c r="AA427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AI426" i="4"/>
  <c r="AH426" i="4"/>
  <c r="AG426" i="4"/>
  <c r="AF426" i="4"/>
  <c r="AE426" i="4"/>
  <c r="AD426" i="4"/>
  <c r="AC426" i="4"/>
  <c r="AB426" i="4"/>
  <c r="AA426" i="4"/>
  <c r="U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AI425" i="4"/>
  <c r="AH425" i="4"/>
  <c r="AG425" i="4"/>
  <c r="AF425" i="4"/>
  <c r="AE425" i="4"/>
  <c r="AD425" i="4"/>
  <c r="AC425" i="4"/>
  <c r="AB425" i="4"/>
  <c r="AA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AI424" i="4"/>
  <c r="AH424" i="4"/>
  <c r="AG424" i="4"/>
  <c r="AF424" i="4"/>
  <c r="AE424" i="4"/>
  <c r="AD424" i="4"/>
  <c r="AC424" i="4"/>
  <c r="AB424" i="4"/>
  <c r="AA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AI423" i="4"/>
  <c r="AH423" i="4"/>
  <c r="AG423" i="4"/>
  <c r="AF423" i="4"/>
  <c r="AE423" i="4"/>
  <c r="AD423" i="4"/>
  <c r="AC423" i="4"/>
  <c r="AB423" i="4"/>
  <c r="AA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AI422" i="4"/>
  <c r="AH422" i="4"/>
  <c r="AG422" i="4"/>
  <c r="AF422" i="4"/>
  <c r="AE422" i="4"/>
  <c r="AD422" i="4"/>
  <c r="AC422" i="4"/>
  <c r="AB422" i="4"/>
  <c r="AA422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AI421" i="4"/>
  <c r="AH421" i="4"/>
  <c r="AG421" i="4"/>
  <c r="AF421" i="4"/>
  <c r="AE421" i="4"/>
  <c r="AD421" i="4"/>
  <c r="AC421" i="4"/>
  <c r="AB421" i="4"/>
  <c r="AA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AI420" i="4"/>
  <c r="AH420" i="4"/>
  <c r="AG420" i="4"/>
  <c r="AF420" i="4"/>
  <c r="AE420" i="4"/>
  <c r="AD420" i="4"/>
  <c r="AC420" i="4"/>
  <c r="AB420" i="4"/>
  <c r="AA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AI419" i="4"/>
  <c r="AH419" i="4"/>
  <c r="AG419" i="4"/>
  <c r="AF419" i="4"/>
  <c r="AE419" i="4"/>
  <c r="AD419" i="4"/>
  <c r="AC419" i="4"/>
  <c r="AB419" i="4"/>
  <c r="AA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AI418" i="4"/>
  <c r="AH418" i="4"/>
  <c r="AG418" i="4"/>
  <c r="AF418" i="4"/>
  <c r="AE418" i="4"/>
  <c r="AD418" i="4"/>
  <c r="AC418" i="4"/>
  <c r="AB418" i="4"/>
  <c r="AA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AI417" i="4"/>
  <c r="AH417" i="4"/>
  <c r="AG417" i="4"/>
  <c r="AF417" i="4"/>
  <c r="AE417" i="4"/>
  <c r="AD417" i="4"/>
  <c r="AC417" i="4"/>
  <c r="AB417" i="4"/>
  <c r="AA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AI416" i="4"/>
  <c r="AH416" i="4"/>
  <c r="AG416" i="4"/>
  <c r="AF416" i="4"/>
  <c r="AE416" i="4"/>
  <c r="AD416" i="4"/>
  <c r="AC416" i="4"/>
  <c r="AB416" i="4"/>
  <c r="AA416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AI415" i="4"/>
  <c r="AH415" i="4"/>
  <c r="AG415" i="4"/>
  <c r="AF415" i="4"/>
  <c r="AE415" i="4"/>
  <c r="AD415" i="4"/>
  <c r="AC415" i="4"/>
  <c r="AB415" i="4"/>
  <c r="AA415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AI414" i="4"/>
  <c r="AH414" i="4"/>
  <c r="AG414" i="4"/>
  <c r="AF414" i="4"/>
  <c r="AE414" i="4"/>
  <c r="AD414" i="4"/>
  <c r="AC414" i="4"/>
  <c r="AB414" i="4"/>
  <c r="AA414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AI413" i="4"/>
  <c r="AH413" i="4"/>
  <c r="AG413" i="4"/>
  <c r="AF413" i="4"/>
  <c r="AE413" i="4"/>
  <c r="AD413" i="4"/>
  <c r="AC413" i="4"/>
  <c r="AB413" i="4"/>
  <c r="AA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AI412" i="4"/>
  <c r="AH412" i="4"/>
  <c r="AG412" i="4"/>
  <c r="AF412" i="4"/>
  <c r="AE412" i="4"/>
  <c r="AD412" i="4"/>
  <c r="AC412" i="4"/>
  <c r="AB412" i="4"/>
  <c r="AA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AI411" i="4"/>
  <c r="AH411" i="4"/>
  <c r="AG411" i="4"/>
  <c r="AF411" i="4"/>
  <c r="AE411" i="4"/>
  <c r="AD411" i="4"/>
  <c r="AC411" i="4"/>
  <c r="AB411" i="4"/>
  <c r="AA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AI410" i="4"/>
  <c r="AH410" i="4"/>
  <c r="AG410" i="4"/>
  <c r="AF410" i="4"/>
  <c r="AE410" i="4"/>
  <c r="AD410" i="4"/>
  <c r="AC410" i="4"/>
  <c r="AB410" i="4"/>
  <c r="AA410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AI409" i="4"/>
  <c r="AH409" i="4"/>
  <c r="AG409" i="4"/>
  <c r="AF409" i="4"/>
  <c r="AE409" i="4"/>
  <c r="AD409" i="4"/>
  <c r="AC409" i="4"/>
  <c r="AB409" i="4"/>
  <c r="AA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AI408" i="4"/>
  <c r="AH408" i="4"/>
  <c r="AG408" i="4"/>
  <c r="AF408" i="4"/>
  <c r="AE408" i="4"/>
  <c r="AD408" i="4"/>
  <c r="AC408" i="4"/>
  <c r="AB408" i="4"/>
  <c r="AA408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AI407" i="4"/>
  <c r="AH407" i="4"/>
  <c r="AG407" i="4"/>
  <c r="AF407" i="4"/>
  <c r="AE407" i="4"/>
  <c r="AD407" i="4"/>
  <c r="AC407" i="4"/>
  <c r="AB407" i="4"/>
  <c r="AA407" i="4"/>
  <c r="U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AI406" i="4"/>
  <c r="AH406" i="4"/>
  <c r="AG406" i="4"/>
  <c r="AF406" i="4"/>
  <c r="AE406" i="4"/>
  <c r="AD406" i="4"/>
  <c r="AC406" i="4"/>
  <c r="AB406" i="4"/>
  <c r="AA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AI405" i="4"/>
  <c r="AH405" i="4"/>
  <c r="AG405" i="4"/>
  <c r="AF405" i="4"/>
  <c r="AE405" i="4"/>
  <c r="AD405" i="4"/>
  <c r="AC405" i="4"/>
  <c r="AB405" i="4"/>
  <c r="AA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AI404" i="4"/>
  <c r="AH404" i="4"/>
  <c r="AG404" i="4"/>
  <c r="AF404" i="4"/>
  <c r="AE404" i="4"/>
  <c r="AD404" i="4"/>
  <c r="AC404" i="4"/>
  <c r="AB404" i="4"/>
  <c r="AA404" i="4"/>
  <c r="U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AI403" i="4"/>
  <c r="AH403" i="4"/>
  <c r="AG403" i="4"/>
  <c r="AF403" i="4"/>
  <c r="AE403" i="4"/>
  <c r="AD403" i="4"/>
  <c r="AC403" i="4"/>
  <c r="AB403" i="4"/>
  <c r="AA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AI402" i="4"/>
  <c r="AH402" i="4"/>
  <c r="AG402" i="4"/>
  <c r="AF402" i="4"/>
  <c r="AE402" i="4"/>
  <c r="AD402" i="4"/>
  <c r="AC402" i="4"/>
  <c r="AB402" i="4"/>
  <c r="AA402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AI401" i="4"/>
  <c r="AH401" i="4"/>
  <c r="AG401" i="4"/>
  <c r="AF401" i="4"/>
  <c r="AE401" i="4"/>
  <c r="AD401" i="4"/>
  <c r="AC401" i="4"/>
  <c r="AB401" i="4"/>
  <c r="AA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AI400" i="4"/>
  <c r="AH400" i="4"/>
  <c r="AG400" i="4"/>
  <c r="AF400" i="4"/>
  <c r="AE400" i="4"/>
  <c r="AD400" i="4"/>
  <c r="AC400" i="4"/>
  <c r="AB400" i="4"/>
  <c r="AA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AI399" i="4"/>
  <c r="AH399" i="4"/>
  <c r="AG399" i="4"/>
  <c r="AF399" i="4"/>
  <c r="AE399" i="4"/>
  <c r="AD399" i="4"/>
  <c r="AC399" i="4"/>
  <c r="AB399" i="4"/>
  <c r="AA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AI398" i="4"/>
  <c r="AH398" i="4"/>
  <c r="AG398" i="4"/>
  <c r="AF398" i="4"/>
  <c r="AE398" i="4"/>
  <c r="AD398" i="4"/>
  <c r="AC398" i="4"/>
  <c r="AB398" i="4"/>
  <c r="AA398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AI397" i="4"/>
  <c r="AH397" i="4"/>
  <c r="AG397" i="4"/>
  <c r="AF397" i="4"/>
  <c r="AE397" i="4"/>
  <c r="AD397" i="4"/>
  <c r="AC397" i="4"/>
  <c r="AB397" i="4"/>
  <c r="AA397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AI396" i="4"/>
  <c r="AH396" i="4"/>
  <c r="AG396" i="4"/>
  <c r="AF396" i="4"/>
  <c r="AE396" i="4"/>
  <c r="AD396" i="4"/>
  <c r="AC396" i="4"/>
  <c r="AB396" i="4"/>
  <c r="AA396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AI395" i="4"/>
  <c r="AH395" i="4"/>
  <c r="AG395" i="4"/>
  <c r="AF395" i="4"/>
  <c r="AE395" i="4"/>
  <c r="AD395" i="4"/>
  <c r="AC395" i="4"/>
  <c r="AB395" i="4"/>
  <c r="AA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AI394" i="4"/>
  <c r="AH394" i="4"/>
  <c r="AG394" i="4"/>
  <c r="AF394" i="4"/>
  <c r="AE394" i="4"/>
  <c r="AD394" i="4"/>
  <c r="AC394" i="4"/>
  <c r="AB394" i="4"/>
  <c r="AA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AI393" i="4"/>
  <c r="AH393" i="4"/>
  <c r="AG393" i="4"/>
  <c r="AF393" i="4"/>
  <c r="AE393" i="4"/>
  <c r="AD393" i="4"/>
  <c r="AC393" i="4"/>
  <c r="AB393" i="4"/>
  <c r="AA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AI392" i="4"/>
  <c r="AH392" i="4"/>
  <c r="AG392" i="4"/>
  <c r="AF392" i="4"/>
  <c r="AE392" i="4"/>
  <c r="AD392" i="4"/>
  <c r="AC392" i="4"/>
  <c r="AB392" i="4"/>
  <c r="AA392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AI391" i="4"/>
  <c r="AH391" i="4"/>
  <c r="AG391" i="4"/>
  <c r="AF391" i="4"/>
  <c r="AE391" i="4"/>
  <c r="AD391" i="4"/>
  <c r="AC391" i="4"/>
  <c r="AB391" i="4"/>
  <c r="AA391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AI390" i="4"/>
  <c r="AH390" i="4"/>
  <c r="AG390" i="4"/>
  <c r="AF390" i="4"/>
  <c r="AE390" i="4"/>
  <c r="AD390" i="4"/>
  <c r="AC390" i="4"/>
  <c r="AB390" i="4"/>
  <c r="AA390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AI389" i="4"/>
  <c r="AH389" i="4"/>
  <c r="AG389" i="4"/>
  <c r="AF389" i="4"/>
  <c r="AE389" i="4"/>
  <c r="AD389" i="4"/>
  <c r="AC389" i="4"/>
  <c r="AB389" i="4"/>
  <c r="AA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AI388" i="4"/>
  <c r="AH388" i="4"/>
  <c r="AG388" i="4"/>
  <c r="AF388" i="4"/>
  <c r="AE388" i="4"/>
  <c r="AD388" i="4"/>
  <c r="AC388" i="4"/>
  <c r="AB388" i="4"/>
  <c r="AA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AI387" i="4"/>
  <c r="AH387" i="4"/>
  <c r="AG387" i="4"/>
  <c r="AF387" i="4"/>
  <c r="AE387" i="4"/>
  <c r="AD387" i="4"/>
  <c r="AC387" i="4"/>
  <c r="AB387" i="4"/>
  <c r="AA387" i="4"/>
  <c r="U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AI386" i="4"/>
  <c r="AH386" i="4"/>
  <c r="AG386" i="4"/>
  <c r="AF386" i="4"/>
  <c r="AE386" i="4"/>
  <c r="AD386" i="4"/>
  <c r="AC386" i="4"/>
  <c r="AB386" i="4"/>
  <c r="AA386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AI385" i="4"/>
  <c r="AH385" i="4"/>
  <c r="AG385" i="4"/>
  <c r="AF385" i="4"/>
  <c r="AE385" i="4"/>
  <c r="AD385" i="4"/>
  <c r="AC385" i="4"/>
  <c r="AB385" i="4"/>
  <c r="AA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AI384" i="4"/>
  <c r="AH384" i="4"/>
  <c r="AG384" i="4"/>
  <c r="AF384" i="4"/>
  <c r="AE384" i="4"/>
  <c r="AD384" i="4"/>
  <c r="AC384" i="4"/>
  <c r="AB384" i="4"/>
  <c r="AA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AI383" i="4"/>
  <c r="AH383" i="4"/>
  <c r="AG383" i="4"/>
  <c r="AF383" i="4"/>
  <c r="AE383" i="4"/>
  <c r="AD383" i="4"/>
  <c r="AC383" i="4"/>
  <c r="AB383" i="4"/>
  <c r="AA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AI382" i="4"/>
  <c r="AH382" i="4"/>
  <c r="AG382" i="4"/>
  <c r="AF382" i="4"/>
  <c r="AE382" i="4"/>
  <c r="AD382" i="4"/>
  <c r="AC382" i="4"/>
  <c r="AB382" i="4"/>
  <c r="AA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AI381" i="4"/>
  <c r="AH381" i="4"/>
  <c r="AG381" i="4"/>
  <c r="AF381" i="4"/>
  <c r="AE381" i="4"/>
  <c r="AD381" i="4"/>
  <c r="AC381" i="4"/>
  <c r="AB381" i="4"/>
  <c r="AA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AI380" i="4"/>
  <c r="AH380" i="4"/>
  <c r="AG380" i="4"/>
  <c r="AF380" i="4"/>
  <c r="AE380" i="4"/>
  <c r="AD380" i="4"/>
  <c r="AC380" i="4"/>
  <c r="AB380" i="4"/>
  <c r="AA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AI379" i="4"/>
  <c r="AH379" i="4"/>
  <c r="AG379" i="4"/>
  <c r="AF379" i="4"/>
  <c r="AE379" i="4"/>
  <c r="AD379" i="4"/>
  <c r="AC379" i="4"/>
  <c r="AB379" i="4"/>
  <c r="AA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AI378" i="4"/>
  <c r="AH378" i="4"/>
  <c r="AG378" i="4"/>
  <c r="AF378" i="4"/>
  <c r="AE378" i="4"/>
  <c r="AD378" i="4"/>
  <c r="AC378" i="4"/>
  <c r="AB378" i="4"/>
  <c r="AA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AI377" i="4"/>
  <c r="AH377" i="4"/>
  <c r="AG377" i="4"/>
  <c r="AF377" i="4"/>
  <c r="AE377" i="4"/>
  <c r="AD377" i="4"/>
  <c r="AC377" i="4"/>
  <c r="AB377" i="4"/>
  <c r="AA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AI376" i="4"/>
  <c r="AH376" i="4"/>
  <c r="AG376" i="4"/>
  <c r="AF376" i="4"/>
  <c r="AE376" i="4"/>
  <c r="AD376" i="4"/>
  <c r="AC376" i="4"/>
  <c r="AB376" i="4"/>
  <c r="AA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AI375" i="4"/>
  <c r="AH375" i="4"/>
  <c r="AG375" i="4"/>
  <c r="AF375" i="4"/>
  <c r="AE375" i="4"/>
  <c r="AD375" i="4"/>
  <c r="AC375" i="4"/>
  <c r="AB375" i="4"/>
  <c r="AA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AI374" i="4"/>
  <c r="AH374" i="4"/>
  <c r="AG374" i="4"/>
  <c r="AF374" i="4"/>
  <c r="AE374" i="4"/>
  <c r="AD374" i="4"/>
  <c r="AC374" i="4"/>
  <c r="AB374" i="4"/>
  <c r="AA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AI373" i="4"/>
  <c r="AH373" i="4"/>
  <c r="AG373" i="4"/>
  <c r="AF373" i="4"/>
  <c r="AE373" i="4"/>
  <c r="AD373" i="4"/>
  <c r="AC373" i="4"/>
  <c r="AB373" i="4"/>
  <c r="AA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AI372" i="4"/>
  <c r="AH372" i="4"/>
  <c r="AG372" i="4"/>
  <c r="AF372" i="4"/>
  <c r="AE372" i="4"/>
  <c r="AD372" i="4"/>
  <c r="AC372" i="4"/>
  <c r="AB372" i="4"/>
  <c r="AA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AI371" i="4"/>
  <c r="AH371" i="4"/>
  <c r="AG371" i="4"/>
  <c r="AF371" i="4"/>
  <c r="AE371" i="4"/>
  <c r="AD371" i="4"/>
  <c r="AC371" i="4"/>
  <c r="AB371" i="4"/>
  <c r="AA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AI370" i="4"/>
  <c r="AH370" i="4"/>
  <c r="AG370" i="4"/>
  <c r="AF370" i="4"/>
  <c r="AE370" i="4"/>
  <c r="AD370" i="4"/>
  <c r="AC370" i="4"/>
  <c r="AB370" i="4"/>
  <c r="AA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AI369" i="4"/>
  <c r="AH369" i="4"/>
  <c r="AG369" i="4"/>
  <c r="AF369" i="4"/>
  <c r="AE369" i="4"/>
  <c r="AD369" i="4"/>
  <c r="AC369" i="4"/>
  <c r="AB369" i="4"/>
  <c r="AA369" i="4"/>
  <c r="U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AI368" i="4"/>
  <c r="AH368" i="4"/>
  <c r="AG368" i="4"/>
  <c r="AF368" i="4"/>
  <c r="AE368" i="4"/>
  <c r="AD368" i="4"/>
  <c r="AC368" i="4"/>
  <c r="AB368" i="4"/>
  <c r="AA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AI367" i="4"/>
  <c r="AH367" i="4"/>
  <c r="AG367" i="4"/>
  <c r="AF367" i="4"/>
  <c r="AE367" i="4"/>
  <c r="AD367" i="4"/>
  <c r="AC367" i="4"/>
  <c r="AB367" i="4"/>
  <c r="AA367" i="4"/>
  <c r="U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AI366" i="4"/>
  <c r="AH366" i="4"/>
  <c r="AG366" i="4"/>
  <c r="AF366" i="4"/>
  <c r="AE366" i="4"/>
  <c r="AD366" i="4"/>
  <c r="AC366" i="4"/>
  <c r="AB366" i="4"/>
  <c r="AA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AI365" i="4"/>
  <c r="AH365" i="4"/>
  <c r="AG365" i="4"/>
  <c r="AF365" i="4"/>
  <c r="AE365" i="4"/>
  <c r="AD365" i="4"/>
  <c r="AC365" i="4"/>
  <c r="AB365" i="4"/>
  <c r="AA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AI364" i="4"/>
  <c r="AH364" i="4"/>
  <c r="AG364" i="4"/>
  <c r="AF364" i="4"/>
  <c r="AE364" i="4"/>
  <c r="AD364" i="4"/>
  <c r="AC364" i="4"/>
  <c r="AB364" i="4"/>
  <c r="AA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AI363" i="4"/>
  <c r="AH363" i="4"/>
  <c r="AG363" i="4"/>
  <c r="AF363" i="4"/>
  <c r="AE363" i="4"/>
  <c r="AD363" i="4"/>
  <c r="AC363" i="4"/>
  <c r="AB363" i="4"/>
  <c r="AA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AI362" i="4"/>
  <c r="AH362" i="4"/>
  <c r="AG362" i="4"/>
  <c r="AF362" i="4"/>
  <c r="AE362" i="4"/>
  <c r="AD362" i="4"/>
  <c r="AC362" i="4"/>
  <c r="AB362" i="4"/>
  <c r="AA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AI361" i="4"/>
  <c r="AH361" i="4"/>
  <c r="AG361" i="4"/>
  <c r="AF361" i="4"/>
  <c r="AE361" i="4"/>
  <c r="AD361" i="4"/>
  <c r="AC361" i="4"/>
  <c r="AB361" i="4"/>
  <c r="AA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AI360" i="4"/>
  <c r="AH360" i="4"/>
  <c r="AG360" i="4"/>
  <c r="AF360" i="4"/>
  <c r="AE360" i="4"/>
  <c r="AD360" i="4"/>
  <c r="AC360" i="4"/>
  <c r="AB360" i="4"/>
  <c r="AA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AI359" i="4"/>
  <c r="AH359" i="4"/>
  <c r="AG359" i="4"/>
  <c r="AF359" i="4"/>
  <c r="AE359" i="4"/>
  <c r="AD359" i="4"/>
  <c r="AC359" i="4"/>
  <c r="AB359" i="4"/>
  <c r="AA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AI358" i="4"/>
  <c r="AH358" i="4"/>
  <c r="AG358" i="4"/>
  <c r="AF358" i="4"/>
  <c r="AE358" i="4"/>
  <c r="AD358" i="4"/>
  <c r="AC358" i="4"/>
  <c r="AB358" i="4"/>
  <c r="AA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AI357" i="4"/>
  <c r="AH357" i="4"/>
  <c r="AG357" i="4"/>
  <c r="AF357" i="4"/>
  <c r="AE357" i="4"/>
  <c r="AD357" i="4"/>
  <c r="AC357" i="4"/>
  <c r="AB357" i="4"/>
  <c r="AA357" i="4"/>
  <c r="U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AI356" i="4"/>
  <c r="AH356" i="4"/>
  <c r="AG356" i="4"/>
  <c r="AF356" i="4"/>
  <c r="AE356" i="4"/>
  <c r="AD356" i="4"/>
  <c r="AC356" i="4"/>
  <c r="AB356" i="4"/>
  <c r="AA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AI355" i="4"/>
  <c r="AH355" i="4"/>
  <c r="AG355" i="4"/>
  <c r="AF355" i="4"/>
  <c r="AE355" i="4"/>
  <c r="AD355" i="4"/>
  <c r="AC355" i="4"/>
  <c r="AB355" i="4"/>
  <c r="AA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AI354" i="4"/>
  <c r="AH354" i="4"/>
  <c r="AG354" i="4"/>
  <c r="AF354" i="4"/>
  <c r="AE354" i="4"/>
  <c r="AD354" i="4"/>
  <c r="AC354" i="4"/>
  <c r="AB354" i="4"/>
  <c r="AA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AI353" i="4"/>
  <c r="AH353" i="4"/>
  <c r="AG353" i="4"/>
  <c r="AF353" i="4"/>
  <c r="AE353" i="4"/>
  <c r="AD353" i="4"/>
  <c r="AC353" i="4"/>
  <c r="AB353" i="4"/>
  <c r="AA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AI352" i="4"/>
  <c r="AH352" i="4"/>
  <c r="AG352" i="4"/>
  <c r="AF352" i="4"/>
  <c r="AE352" i="4"/>
  <c r="AD352" i="4"/>
  <c r="AC352" i="4"/>
  <c r="AB352" i="4"/>
  <c r="AA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AI351" i="4"/>
  <c r="AH351" i="4"/>
  <c r="AG351" i="4"/>
  <c r="AF351" i="4"/>
  <c r="AE351" i="4"/>
  <c r="AD351" i="4"/>
  <c r="AC351" i="4"/>
  <c r="AB351" i="4"/>
  <c r="AA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AI350" i="4"/>
  <c r="AH350" i="4"/>
  <c r="AG350" i="4"/>
  <c r="AF350" i="4"/>
  <c r="AE350" i="4"/>
  <c r="AD350" i="4"/>
  <c r="AC350" i="4"/>
  <c r="AB350" i="4"/>
  <c r="AA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AI349" i="4"/>
  <c r="AH349" i="4"/>
  <c r="AG349" i="4"/>
  <c r="AF349" i="4"/>
  <c r="AE349" i="4"/>
  <c r="AD349" i="4"/>
  <c r="AC349" i="4"/>
  <c r="AB349" i="4"/>
  <c r="AA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AI348" i="4"/>
  <c r="AH348" i="4"/>
  <c r="AG348" i="4"/>
  <c r="AF348" i="4"/>
  <c r="AE348" i="4"/>
  <c r="AD348" i="4"/>
  <c r="AC348" i="4"/>
  <c r="AB348" i="4"/>
  <c r="AA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AI347" i="4"/>
  <c r="AH347" i="4"/>
  <c r="AG347" i="4"/>
  <c r="AF347" i="4"/>
  <c r="AE347" i="4"/>
  <c r="AD347" i="4"/>
  <c r="AC347" i="4"/>
  <c r="AB347" i="4"/>
  <c r="AA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AI346" i="4"/>
  <c r="AH346" i="4"/>
  <c r="AG346" i="4"/>
  <c r="AF346" i="4"/>
  <c r="AE346" i="4"/>
  <c r="AD346" i="4"/>
  <c r="AC346" i="4"/>
  <c r="AB346" i="4"/>
  <c r="AA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AI345" i="4"/>
  <c r="AH345" i="4"/>
  <c r="AG345" i="4"/>
  <c r="AF345" i="4"/>
  <c r="AE345" i="4"/>
  <c r="AD345" i="4"/>
  <c r="AC345" i="4"/>
  <c r="AB345" i="4"/>
  <c r="AA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AI344" i="4"/>
  <c r="AH344" i="4"/>
  <c r="AG344" i="4"/>
  <c r="AF344" i="4"/>
  <c r="AE344" i="4"/>
  <c r="AD344" i="4"/>
  <c r="AC344" i="4"/>
  <c r="AB344" i="4"/>
  <c r="AA344" i="4"/>
  <c r="U344" i="4"/>
  <c r="T344" i="4"/>
  <c r="S344" i="4"/>
  <c r="R344" i="4"/>
  <c r="Q344" i="4"/>
  <c r="P344" i="4"/>
  <c r="O344" i="4"/>
  <c r="N344" i="4"/>
  <c r="M344" i="4"/>
  <c r="L344" i="4"/>
  <c r="K344" i="4"/>
  <c r="I344" i="4"/>
  <c r="H344" i="4"/>
  <c r="G344" i="4"/>
  <c r="F344" i="4"/>
  <c r="E344" i="4"/>
  <c r="D344" i="4"/>
  <c r="C344" i="4"/>
  <c r="B344" i="4"/>
  <c r="A344" i="4"/>
  <c r="AI343" i="4"/>
  <c r="AH343" i="4"/>
  <c r="AG343" i="4"/>
  <c r="AF343" i="4"/>
  <c r="AE343" i="4"/>
  <c r="AD343" i="4"/>
  <c r="AC343" i="4"/>
  <c r="AB343" i="4"/>
  <c r="AA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AI342" i="4"/>
  <c r="AH342" i="4"/>
  <c r="AG342" i="4"/>
  <c r="AF342" i="4"/>
  <c r="AE342" i="4"/>
  <c r="AD342" i="4"/>
  <c r="AC342" i="4"/>
  <c r="AB342" i="4"/>
  <c r="AA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AI341" i="4"/>
  <c r="AH341" i="4"/>
  <c r="AG341" i="4"/>
  <c r="AF341" i="4"/>
  <c r="AE341" i="4"/>
  <c r="AD341" i="4"/>
  <c r="AC341" i="4"/>
  <c r="AB341" i="4"/>
  <c r="AA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AI340" i="4"/>
  <c r="AH340" i="4"/>
  <c r="AG340" i="4"/>
  <c r="AF340" i="4"/>
  <c r="AE340" i="4"/>
  <c r="AD340" i="4"/>
  <c r="AC340" i="4"/>
  <c r="AB340" i="4"/>
  <c r="AA340" i="4"/>
  <c r="U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AI339" i="4"/>
  <c r="AH339" i="4"/>
  <c r="AG339" i="4"/>
  <c r="AF339" i="4"/>
  <c r="AE339" i="4"/>
  <c r="AD339" i="4"/>
  <c r="AC339" i="4"/>
  <c r="AB339" i="4"/>
  <c r="AA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AI338" i="4"/>
  <c r="AH338" i="4"/>
  <c r="AG338" i="4"/>
  <c r="AF338" i="4"/>
  <c r="AE338" i="4"/>
  <c r="AD338" i="4"/>
  <c r="AC338" i="4"/>
  <c r="AB338" i="4"/>
  <c r="AA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AI337" i="4"/>
  <c r="AH337" i="4"/>
  <c r="AG337" i="4"/>
  <c r="AF337" i="4"/>
  <c r="AE337" i="4"/>
  <c r="AD337" i="4"/>
  <c r="AC337" i="4"/>
  <c r="AB337" i="4"/>
  <c r="AA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AI336" i="4"/>
  <c r="AH336" i="4"/>
  <c r="AG336" i="4"/>
  <c r="AF336" i="4"/>
  <c r="AE336" i="4"/>
  <c r="AD336" i="4"/>
  <c r="AC336" i="4"/>
  <c r="AB336" i="4"/>
  <c r="AA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AI335" i="4"/>
  <c r="AH335" i="4"/>
  <c r="AG335" i="4"/>
  <c r="AF335" i="4"/>
  <c r="AE335" i="4"/>
  <c r="AD335" i="4"/>
  <c r="AC335" i="4"/>
  <c r="AB335" i="4"/>
  <c r="AA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AI334" i="4"/>
  <c r="AH334" i="4"/>
  <c r="AG334" i="4"/>
  <c r="AF334" i="4"/>
  <c r="AE334" i="4"/>
  <c r="AD334" i="4"/>
  <c r="AC334" i="4"/>
  <c r="AB334" i="4"/>
  <c r="AA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AI333" i="4"/>
  <c r="AH333" i="4"/>
  <c r="AG333" i="4"/>
  <c r="AF333" i="4"/>
  <c r="AE333" i="4"/>
  <c r="AD333" i="4"/>
  <c r="AC333" i="4"/>
  <c r="AB333" i="4"/>
  <c r="AA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AI332" i="4"/>
  <c r="AH332" i="4"/>
  <c r="AG332" i="4"/>
  <c r="AF332" i="4"/>
  <c r="AE332" i="4"/>
  <c r="AD332" i="4"/>
  <c r="AC332" i="4"/>
  <c r="AB332" i="4"/>
  <c r="AA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AI331" i="4"/>
  <c r="AH331" i="4"/>
  <c r="AG331" i="4"/>
  <c r="AF331" i="4"/>
  <c r="AE331" i="4"/>
  <c r="AD331" i="4"/>
  <c r="AC331" i="4"/>
  <c r="AB331" i="4"/>
  <c r="AA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AI330" i="4"/>
  <c r="AH330" i="4"/>
  <c r="AG330" i="4"/>
  <c r="AF330" i="4"/>
  <c r="AE330" i="4"/>
  <c r="AD330" i="4"/>
  <c r="AC330" i="4"/>
  <c r="AB330" i="4"/>
  <c r="AA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AI329" i="4"/>
  <c r="AH329" i="4"/>
  <c r="AG329" i="4"/>
  <c r="AF329" i="4"/>
  <c r="AE329" i="4"/>
  <c r="AD329" i="4"/>
  <c r="AC329" i="4"/>
  <c r="AB329" i="4"/>
  <c r="AA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AI328" i="4"/>
  <c r="AH328" i="4"/>
  <c r="AG328" i="4"/>
  <c r="AF328" i="4"/>
  <c r="AE328" i="4"/>
  <c r="AD328" i="4"/>
  <c r="AC328" i="4"/>
  <c r="AB328" i="4"/>
  <c r="AA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AI327" i="4"/>
  <c r="AH327" i="4"/>
  <c r="AG327" i="4"/>
  <c r="AF327" i="4"/>
  <c r="AE327" i="4"/>
  <c r="AD327" i="4"/>
  <c r="AC327" i="4"/>
  <c r="AB327" i="4"/>
  <c r="AA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AI326" i="4"/>
  <c r="AH326" i="4"/>
  <c r="AG326" i="4"/>
  <c r="AF326" i="4"/>
  <c r="AE326" i="4"/>
  <c r="AD326" i="4"/>
  <c r="AC326" i="4"/>
  <c r="AB326" i="4"/>
  <c r="AA326" i="4"/>
  <c r="U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AI325" i="4"/>
  <c r="AH325" i="4"/>
  <c r="AG325" i="4"/>
  <c r="AF325" i="4"/>
  <c r="AE325" i="4"/>
  <c r="AD325" i="4"/>
  <c r="AC325" i="4"/>
  <c r="AB325" i="4"/>
  <c r="AA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AI324" i="4"/>
  <c r="AH324" i="4"/>
  <c r="AG324" i="4"/>
  <c r="AF324" i="4"/>
  <c r="AE324" i="4"/>
  <c r="AD324" i="4"/>
  <c r="AC324" i="4"/>
  <c r="AB324" i="4"/>
  <c r="AA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AI323" i="4"/>
  <c r="AH323" i="4"/>
  <c r="AG323" i="4"/>
  <c r="AF323" i="4"/>
  <c r="AE323" i="4"/>
  <c r="AD323" i="4"/>
  <c r="AC323" i="4"/>
  <c r="AB323" i="4"/>
  <c r="AA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AI322" i="4"/>
  <c r="AH322" i="4"/>
  <c r="AG322" i="4"/>
  <c r="AF322" i="4"/>
  <c r="AE322" i="4"/>
  <c r="AD322" i="4"/>
  <c r="AC322" i="4"/>
  <c r="AB322" i="4"/>
  <c r="AA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AI321" i="4"/>
  <c r="AH321" i="4"/>
  <c r="AG321" i="4"/>
  <c r="AF321" i="4"/>
  <c r="AE321" i="4"/>
  <c r="AD321" i="4"/>
  <c r="AC321" i="4"/>
  <c r="AB321" i="4"/>
  <c r="AA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AI320" i="4"/>
  <c r="AH320" i="4"/>
  <c r="AG320" i="4"/>
  <c r="AF320" i="4"/>
  <c r="AE320" i="4"/>
  <c r="AD320" i="4"/>
  <c r="AC320" i="4"/>
  <c r="AB320" i="4"/>
  <c r="AA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AI319" i="4"/>
  <c r="AH319" i="4"/>
  <c r="AG319" i="4"/>
  <c r="AF319" i="4"/>
  <c r="AE319" i="4"/>
  <c r="AD319" i="4"/>
  <c r="AC319" i="4"/>
  <c r="AB319" i="4"/>
  <c r="AA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AI318" i="4"/>
  <c r="AH318" i="4"/>
  <c r="AG318" i="4"/>
  <c r="AF318" i="4"/>
  <c r="AE318" i="4"/>
  <c r="AD318" i="4"/>
  <c r="AC318" i="4"/>
  <c r="AB318" i="4"/>
  <c r="AA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AI317" i="4"/>
  <c r="AH317" i="4"/>
  <c r="AG317" i="4"/>
  <c r="AF317" i="4"/>
  <c r="AE317" i="4"/>
  <c r="AD317" i="4"/>
  <c r="AC317" i="4"/>
  <c r="AB317" i="4"/>
  <c r="AA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AI316" i="4"/>
  <c r="AH316" i="4"/>
  <c r="AG316" i="4"/>
  <c r="AF316" i="4"/>
  <c r="AE316" i="4"/>
  <c r="AD316" i="4"/>
  <c r="AC316" i="4"/>
  <c r="AB316" i="4"/>
  <c r="AA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AI315" i="4"/>
  <c r="AH315" i="4"/>
  <c r="AG315" i="4"/>
  <c r="AF315" i="4"/>
  <c r="AE315" i="4"/>
  <c r="AD315" i="4"/>
  <c r="AC315" i="4"/>
  <c r="AB315" i="4"/>
  <c r="AA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AI314" i="4"/>
  <c r="AH314" i="4"/>
  <c r="AG314" i="4"/>
  <c r="AF314" i="4"/>
  <c r="AE314" i="4"/>
  <c r="AD314" i="4"/>
  <c r="AC314" i="4"/>
  <c r="AB314" i="4"/>
  <c r="AA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AI313" i="4"/>
  <c r="AH313" i="4"/>
  <c r="AG313" i="4"/>
  <c r="AF313" i="4"/>
  <c r="AE313" i="4"/>
  <c r="AD313" i="4"/>
  <c r="AC313" i="4"/>
  <c r="AB313" i="4"/>
  <c r="AA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AI312" i="4"/>
  <c r="AH312" i="4"/>
  <c r="AG312" i="4"/>
  <c r="AF312" i="4"/>
  <c r="AE312" i="4"/>
  <c r="AD312" i="4"/>
  <c r="AC312" i="4"/>
  <c r="AB312" i="4"/>
  <c r="AA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AI311" i="4"/>
  <c r="AH311" i="4"/>
  <c r="AG311" i="4"/>
  <c r="AF311" i="4"/>
  <c r="AE311" i="4"/>
  <c r="AD311" i="4"/>
  <c r="AC311" i="4"/>
  <c r="AB311" i="4"/>
  <c r="AA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AI310" i="4"/>
  <c r="AH310" i="4"/>
  <c r="AG310" i="4"/>
  <c r="AF310" i="4"/>
  <c r="AE310" i="4"/>
  <c r="AD310" i="4"/>
  <c r="AC310" i="4"/>
  <c r="AB310" i="4"/>
  <c r="AA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AI309" i="4"/>
  <c r="AH309" i="4"/>
  <c r="AG309" i="4"/>
  <c r="AF309" i="4"/>
  <c r="AE309" i="4"/>
  <c r="AD309" i="4"/>
  <c r="AC309" i="4"/>
  <c r="AB309" i="4"/>
  <c r="AA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AI308" i="4"/>
  <c r="AH308" i="4"/>
  <c r="AG308" i="4"/>
  <c r="AF308" i="4"/>
  <c r="AE308" i="4"/>
  <c r="AD308" i="4"/>
  <c r="AC308" i="4"/>
  <c r="AB308" i="4"/>
  <c r="AA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AI307" i="4"/>
  <c r="AH307" i="4"/>
  <c r="AG307" i="4"/>
  <c r="AF307" i="4"/>
  <c r="AE307" i="4"/>
  <c r="AD307" i="4"/>
  <c r="AC307" i="4"/>
  <c r="AB307" i="4"/>
  <c r="AA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AI306" i="4"/>
  <c r="AH306" i="4"/>
  <c r="AG306" i="4"/>
  <c r="AF306" i="4"/>
  <c r="AE306" i="4"/>
  <c r="AD306" i="4"/>
  <c r="AC306" i="4"/>
  <c r="AB306" i="4"/>
  <c r="AA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AI305" i="4"/>
  <c r="AH305" i="4"/>
  <c r="AG305" i="4"/>
  <c r="AF305" i="4"/>
  <c r="AE305" i="4"/>
  <c r="AD305" i="4"/>
  <c r="AC305" i="4"/>
  <c r="AB305" i="4"/>
  <c r="AA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AI304" i="4"/>
  <c r="AH304" i="4"/>
  <c r="AG304" i="4"/>
  <c r="AF304" i="4"/>
  <c r="AE304" i="4"/>
  <c r="AD304" i="4"/>
  <c r="AC304" i="4"/>
  <c r="AB304" i="4"/>
  <c r="AA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AI303" i="4"/>
  <c r="AH303" i="4"/>
  <c r="AG303" i="4"/>
  <c r="AF303" i="4"/>
  <c r="AE303" i="4"/>
  <c r="AD303" i="4"/>
  <c r="AC303" i="4"/>
  <c r="AB303" i="4"/>
  <c r="AA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AI302" i="4"/>
  <c r="AH302" i="4"/>
  <c r="AG302" i="4"/>
  <c r="AF302" i="4"/>
  <c r="AE302" i="4"/>
  <c r="AD302" i="4"/>
  <c r="AC302" i="4"/>
  <c r="AB302" i="4"/>
  <c r="AA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AI301" i="4"/>
  <c r="AH301" i="4"/>
  <c r="AG301" i="4"/>
  <c r="AF301" i="4"/>
  <c r="AE301" i="4"/>
  <c r="AD301" i="4"/>
  <c r="AC301" i="4"/>
  <c r="AB301" i="4"/>
  <c r="AA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AI300" i="4"/>
  <c r="AH300" i="4"/>
  <c r="AG300" i="4"/>
  <c r="AF300" i="4"/>
  <c r="AE300" i="4"/>
  <c r="AD300" i="4"/>
  <c r="AC300" i="4"/>
  <c r="AB300" i="4"/>
  <c r="AA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AI299" i="4"/>
  <c r="AH299" i="4"/>
  <c r="AG299" i="4"/>
  <c r="AF299" i="4"/>
  <c r="AE299" i="4"/>
  <c r="AD299" i="4"/>
  <c r="AC299" i="4"/>
  <c r="AB299" i="4"/>
  <c r="AA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AI298" i="4"/>
  <c r="AH298" i="4"/>
  <c r="AG298" i="4"/>
  <c r="AF298" i="4"/>
  <c r="AE298" i="4"/>
  <c r="AD298" i="4"/>
  <c r="AC298" i="4"/>
  <c r="AB298" i="4"/>
  <c r="AA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AI297" i="4"/>
  <c r="AH297" i="4"/>
  <c r="AG297" i="4"/>
  <c r="AF297" i="4"/>
  <c r="AE297" i="4"/>
  <c r="AD297" i="4"/>
  <c r="AC297" i="4"/>
  <c r="AB297" i="4"/>
  <c r="AA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AI296" i="4"/>
  <c r="AH296" i="4"/>
  <c r="AG296" i="4"/>
  <c r="AF296" i="4"/>
  <c r="AE296" i="4"/>
  <c r="AD296" i="4"/>
  <c r="AC296" i="4"/>
  <c r="AB296" i="4"/>
  <c r="AA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AI295" i="4"/>
  <c r="AH295" i="4"/>
  <c r="AG295" i="4"/>
  <c r="AF295" i="4"/>
  <c r="AE295" i="4"/>
  <c r="AD295" i="4"/>
  <c r="AC295" i="4"/>
  <c r="AB295" i="4"/>
  <c r="AA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AI294" i="4"/>
  <c r="AH294" i="4"/>
  <c r="AG294" i="4"/>
  <c r="AF294" i="4"/>
  <c r="AE294" i="4"/>
  <c r="AD294" i="4"/>
  <c r="AC294" i="4"/>
  <c r="AB294" i="4"/>
  <c r="AA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AI293" i="4"/>
  <c r="AH293" i="4"/>
  <c r="AG293" i="4"/>
  <c r="AF293" i="4"/>
  <c r="AE293" i="4"/>
  <c r="AD293" i="4"/>
  <c r="AC293" i="4"/>
  <c r="AB293" i="4"/>
  <c r="AA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AI292" i="4"/>
  <c r="AH292" i="4"/>
  <c r="AG292" i="4"/>
  <c r="AF292" i="4"/>
  <c r="AE292" i="4"/>
  <c r="AD292" i="4"/>
  <c r="AC292" i="4"/>
  <c r="AB292" i="4"/>
  <c r="AA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AI291" i="4"/>
  <c r="AH291" i="4"/>
  <c r="AG291" i="4"/>
  <c r="AF291" i="4"/>
  <c r="AE291" i="4"/>
  <c r="AD291" i="4"/>
  <c r="AC291" i="4"/>
  <c r="AB291" i="4"/>
  <c r="AA291" i="4"/>
  <c r="U291" i="4"/>
  <c r="T291" i="4"/>
  <c r="S291" i="4"/>
  <c r="R291" i="4"/>
  <c r="Q291" i="4"/>
  <c r="P291" i="4"/>
  <c r="O291" i="4"/>
  <c r="N291" i="4"/>
  <c r="M291" i="4"/>
  <c r="L291" i="4"/>
  <c r="K291" i="4"/>
  <c r="I291" i="4"/>
  <c r="H291" i="4"/>
  <c r="G291" i="4"/>
  <c r="F291" i="4"/>
  <c r="E291" i="4"/>
  <c r="D291" i="4"/>
  <c r="C291" i="4"/>
  <c r="B291" i="4"/>
  <c r="A291" i="4"/>
  <c r="AI290" i="4"/>
  <c r="AH290" i="4"/>
  <c r="AG290" i="4"/>
  <c r="AF290" i="4"/>
  <c r="AE290" i="4"/>
  <c r="AD290" i="4"/>
  <c r="AC290" i="4"/>
  <c r="AB290" i="4"/>
  <c r="AA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AI289" i="4"/>
  <c r="AH289" i="4"/>
  <c r="AG289" i="4"/>
  <c r="AF289" i="4"/>
  <c r="AE289" i="4"/>
  <c r="AD289" i="4"/>
  <c r="AC289" i="4"/>
  <c r="AB289" i="4"/>
  <c r="AA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AI288" i="4"/>
  <c r="AH288" i="4"/>
  <c r="AG288" i="4"/>
  <c r="AF288" i="4"/>
  <c r="AE288" i="4"/>
  <c r="AD288" i="4"/>
  <c r="AC288" i="4"/>
  <c r="AB288" i="4"/>
  <c r="AA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AI287" i="4"/>
  <c r="AH287" i="4"/>
  <c r="AG287" i="4"/>
  <c r="AF287" i="4"/>
  <c r="AE287" i="4"/>
  <c r="AD287" i="4"/>
  <c r="AC287" i="4"/>
  <c r="AB287" i="4"/>
  <c r="AA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AI286" i="4"/>
  <c r="AH286" i="4"/>
  <c r="AG286" i="4"/>
  <c r="AF286" i="4"/>
  <c r="AE286" i="4"/>
  <c r="AD286" i="4"/>
  <c r="AC286" i="4"/>
  <c r="AB286" i="4"/>
  <c r="AA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AI285" i="4"/>
  <c r="AH285" i="4"/>
  <c r="AG285" i="4"/>
  <c r="AF285" i="4"/>
  <c r="AE285" i="4"/>
  <c r="AD285" i="4"/>
  <c r="AC285" i="4"/>
  <c r="AB285" i="4"/>
  <c r="AA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AI284" i="4"/>
  <c r="AH284" i="4"/>
  <c r="AG284" i="4"/>
  <c r="AF284" i="4"/>
  <c r="AE284" i="4"/>
  <c r="AD284" i="4"/>
  <c r="AC284" i="4"/>
  <c r="AB284" i="4"/>
  <c r="AA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AI283" i="4"/>
  <c r="AH283" i="4"/>
  <c r="AG283" i="4"/>
  <c r="AF283" i="4"/>
  <c r="AE283" i="4"/>
  <c r="AD283" i="4"/>
  <c r="AC283" i="4"/>
  <c r="AB283" i="4"/>
  <c r="AA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AI282" i="4"/>
  <c r="AH282" i="4"/>
  <c r="AG282" i="4"/>
  <c r="AF282" i="4"/>
  <c r="AE282" i="4"/>
  <c r="AD282" i="4"/>
  <c r="AC282" i="4"/>
  <c r="AB282" i="4"/>
  <c r="AA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AI281" i="4"/>
  <c r="AH281" i="4"/>
  <c r="AG281" i="4"/>
  <c r="AF281" i="4"/>
  <c r="AE281" i="4"/>
  <c r="AD281" i="4"/>
  <c r="AC281" i="4"/>
  <c r="AB281" i="4"/>
  <c r="AA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AI280" i="4"/>
  <c r="AH280" i="4"/>
  <c r="AG280" i="4"/>
  <c r="AF280" i="4"/>
  <c r="AE280" i="4"/>
  <c r="AD280" i="4"/>
  <c r="AC280" i="4"/>
  <c r="AB280" i="4"/>
  <c r="AA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AI279" i="4"/>
  <c r="AH279" i="4"/>
  <c r="AG279" i="4"/>
  <c r="AF279" i="4"/>
  <c r="AE279" i="4"/>
  <c r="AD279" i="4"/>
  <c r="AC279" i="4"/>
  <c r="AB279" i="4"/>
  <c r="AA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AI278" i="4"/>
  <c r="AH278" i="4"/>
  <c r="AG278" i="4"/>
  <c r="AF278" i="4"/>
  <c r="AE278" i="4"/>
  <c r="AD278" i="4"/>
  <c r="AC278" i="4"/>
  <c r="AB278" i="4"/>
  <c r="AA278" i="4"/>
  <c r="U278" i="4"/>
  <c r="T278" i="4"/>
  <c r="S278" i="4"/>
  <c r="R278" i="4"/>
  <c r="Q278" i="4"/>
  <c r="P278" i="4"/>
  <c r="O278" i="4"/>
  <c r="N278" i="4"/>
  <c r="M278" i="4"/>
  <c r="L278" i="4"/>
  <c r="K278" i="4"/>
  <c r="I278" i="4"/>
  <c r="H278" i="4"/>
  <c r="G278" i="4"/>
  <c r="F278" i="4"/>
  <c r="E278" i="4"/>
  <c r="D278" i="4"/>
  <c r="C278" i="4"/>
  <c r="B278" i="4"/>
  <c r="A278" i="4"/>
  <c r="AI277" i="4"/>
  <c r="AH277" i="4"/>
  <c r="AG277" i="4"/>
  <c r="AF277" i="4"/>
  <c r="AE277" i="4"/>
  <c r="AD277" i="4"/>
  <c r="AC277" i="4"/>
  <c r="AB277" i="4"/>
  <c r="AA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AI276" i="4"/>
  <c r="AH276" i="4"/>
  <c r="AG276" i="4"/>
  <c r="AF276" i="4"/>
  <c r="AE276" i="4"/>
  <c r="AD276" i="4"/>
  <c r="AC276" i="4"/>
  <c r="AB276" i="4"/>
  <c r="AA276" i="4"/>
  <c r="Z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AI275" i="4"/>
  <c r="AH275" i="4"/>
  <c r="AG275" i="4"/>
  <c r="AF275" i="4"/>
  <c r="AE275" i="4"/>
  <c r="AD275" i="4"/>
  <c r="AC275" i="4"/>
  <c r="AB275" i="4"/>
  <c r="AA275" i="4"/>
  <c r="Z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AI274" i="4"/>
  <c r="AH274" i="4"/>
  <c r="AG274" i="4"/>
  <c r="AF274" i="4"/>
  <c r="AE274" i="4"/>
  <c r="AD274" i="4"/>
  <c r="AC274" i="4"/>
  <c r="AB274" i="4"/>
  <c r="AA274" i="4"/>
  <c r="Z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AI273" i="4"/>
  <c r="AH273" i="4"/>
  <c r="AG273" i="4"/>
  <c r="AF273" i="4"/>
  <c r="AE273" i="4"/>
  <c r="AD273" i="4"/>
  <c r="AC273" i="4"/>
  <c r="AB273" i="4"/>
  <c r="AA273" i="4"/>
  <c r="Z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AI272" i="4"/>
  <c r="AH272" i="4"/>
  <c r="AG272" i="4"/>
  <c r="AF272" i="4"/>
  <c r="AE272" i="4"/>
  <c r="AD272" i="4"/>
  <c r="AC272" i="4"/>
  <c r="AB272" i="4"/>
  <c r="AA272" i="4"/>
  <c r="Z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AI271" i="4"/>
  <c r="AH271" i="4"/>
  <c r="AG271" i="4"/>
  <c r="AF271" i="4"/>
  <c r="AE271" i="4"/>
  <c r="AD271" i="4"/>
  <c r="AC271" i="4"/>
  <c r="AB271" i="4"/>
  <c r="AA271" i="4"/>
  <c r="Z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AI270" i="4"/>
  <c r="AH270" i="4"/>
  <c r="AG270" i="4"/>
  <c r="AF270" i="4"/>
  <c r="AE270" i="4"/>
  <c r="AD270" i="4"/>
  <c r="AC270" i="4"/>
  <c r="AB270" i="4"/>
  <c r="AA270" i="4"/>
  <c r="Z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AI269" i="4"/>
  <c r="AH269" i="4"/>
  <c r="AG269" i="4"/>
  <c r="AF269" i="4"/>
  <c r="AE269" i="4"/>
  <c r="AD269" i="4"/>
  <c r="AC269" i="4"/>
  <c r="AB269" i="4"/>
  <c r="AA269" i="4"/>
  <c r="Z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AI268" i="4"/>
  <c r="AH268" i="4"/>
  <c r="AG268" i="4"/>
  <c r="AF268" i="4"/>
  <c r="AE268" i="4"/>
  <c r="AD268" i="4"/>
  <c r="AC268" i="4"/>
  <c r="AB268" i="4"/>
  <c r="AA268" i="4"/>
  <c r="U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AI267" i="4"/>
  <c r="AH267" i="4"/>
  <c r="AG267" i="4"/>
  <c r="AF267" i="4"/>
  <c r="AE267" i="4"/>
  <c r="AD267" i="4"/>
  <c r="AC267" i="4"/>
  <c r="AB267" i="4"/>
  <c r="AA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AI266" i="4"/>
  <c r="AH266" i="4"/>
  <c r="AG266" i="4"/>
  <c r="AF266" i="4"/>
  <c r="AE266" i="4"/>
  <c r="AD266" i="4"/>
  <c r="AC266" i="4"/>
  <c r="AB266" i="4"/>
  <c r="AA266" i="4"/>
  <c r="Z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AI265" i="4"/>
  <c r="AH265" i="4"/>
  <c r="AG265" i="4"/>
  <c r="AF265" i="4"/>
  <c r="AE265" i="4"/>
  <c r="AD265" i="4"/>
  <c r="AC265" i="4"/>
  <c r="AB265" i="4"/>
  <c r="AA265" i="4"/>
  <c r="Z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AI264" i="4"/>
  <c r="AH264" i="4"/>
  <c r="AG264" i="4"/>
  <c r="AF264" i="4"/>
  <c r="AE264" i="4"/>
  <c r="AD264" i="4"/>
  <c r="AC264" i="4"/>
  <c r="AB264" i="4"/>
  <c r="AA264" i="4"/>
  <c r="Z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AI263" i="4"/>
  <c r="AH263" i="4"/>
  <c r="AG263" i="4"/>
  <c r="AF263" i="4"/>
  <c r="AE263" i="4"/>
  <c r="AD263" i="4"/>
  <c r="AC263" i="4"/>
  <c r="AB263" i="4"/>
  <c r="AA263" i="4"/>
  <c r="Z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AI262" i="4"/>
  <c r="AH262" i="4"/>
  <c r="AG262" i="4"/>
  <c r="AF262" i="4"/>
  <c r="AE262" i="4"/>
  <c r="AD262" i="4"/>
  <c r="AC262" i="4"/>
  <c r="AB262" i="4"/>
  <c r="AA262" i="4"/>
  <c r="Z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AI261" i="4"/>
  <c r="AH261" i="4"/>
  <c r="AG261" i="4"/>
  <c r="AF261" i="4"/>
  <c r="AE261" i="4"/>
  <c r="AD261" i="4"/>
  <c r="AC261" i="4"/>
  <c r="AB261" i="4"/>
  <c r="AA261" i="4"/>
  <c r="Z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AI260" i="4"/>
  <c r="AH260" i="4"/>
  <c r="AG260" i="4"/>
  <c r="AF260" i="4"/>
  <c r="AE260" i="4"/>
  <c r="AD260" i="4"/>
  <c r="AC260" i="4"/>
  <c r="AB260" i="4"/>
  <c r="AA260" i="4"/>
  <c r="Z260" i="4"/>
  <c r="U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AI259" i="4"/>
  <c r="AH259" i="4"/>
  <c r="AG259" i="4"/>
  <c r="AF259" i="4"/>
  <c r="AE259" i="4"/>
  <c r="AD259" i="4"/>
  <c r="AC259" i="4"/>
  <c r="AB259" i="4"/>
  <c r="AA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AI258" i="4"/>
  <c r="AH258" i="4"/>
  <c r="AG258" i="4"/>
  <c r="AF258" i="4"/>
  <c r="AE258" i="4"/>
  <c r="AD258" i="4"/>
  <c r="AC258" i="4"/>
  <c r="AB258" i="4"/>
  <c r="AA258" i="4"/>
  <c r="Z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AI257" i="4"/>
  <c r="AH257" i="4"/>
  <c r="AG257" i="4"/>
  <c r="AF257" i="4"/>
  <c r="AE257" i="4"/>
  <c r="AD257" i="4"/>
  <c r="AC257" i="4"/>
  <c r="AB257" i="4"/>
  <c r="AA257" i="4"/>
  <c r="Z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AI256" i="4"/>
  <c r="AH256" i="4"/>
  <c r="AG256" i="4"/>
  <c r="AF256" i="4"/>
  <c r="AE256" i="4"/>
  <c r="AD256" i="4"/>
  <c r="AC256" i="4"/>
  <c r="AB256" i="4"/>
  <c r="AA256" i="4"/>
  <c r="Z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AI255" i="4"/>
  <c r="AH255" i="4"/>
  <c r="AG255" i="4"/>
  <c r="AF255" i="4"/>
  <c r="AE255" i="4"/>
  <c r="AD255" i="4"/>
  <c r="AC255" i="4"/>
  <c r="AB255" i="4"/>
  <c r="AA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AI254" i="4"/>
  <c r="AH254" i="4"/>
  <c r="AG254" i="4"/>
  <c r="AF254" i="4"/>
  <c r="AE254" i="4"/>
  <c r="AD254" i="4"/>
  <c r="AC254" i="4"/>
  <c r="AB254" i="4"/>
  <c r="AA254" i="4"/>
  <c r="Z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AI253" i="4"/>
  <c r="AH253" i="4"/>
  <c r="AG253" i="4"/>
  <c r="AF253" i="4"/>
  <c r="AE253" i="4"/>
  <c r="AD253" i="4"/>
  <c r="AC253" i="4"/>
  <c r="AB253" i="4"/>
  <c r="AA253" i="4"/>
  <c r="Z253" i="4"/>
  <c r="U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AI252" i="4"/>
  <c r="AH252" i="4"/>
  <c r="AG252" i="4"/>
  <c r="AF252" i="4"/>
  <c r="AE252" i="4"/>
  <c r="AD252" i="4"/>
  <c r="AC252" i="4"/>
  <c r="AB252" i="4"/>
  <c r="AA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AI251" i="4"/>
  <c r="AH251" i="4"/>
  <c r="AG251" i="4"/>
  <c r="AF251" i="4"/>
  <c r="AE251" i="4"/>
  <c r="AD251" i="4"/>
  <c r="AC251" i="4"/>
  <c r="AB251" i="4"/>
  <c r="AA251" i="4"/>
  <c r="Z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AI250" i="4"/>
  <c r="AH250" i="4"/>
  <c r="AG250" i="4"/>
  <c r="AF250" i="4"/>
  <c r="AE250" i="4"/>
  <c r="AD250" i="4"/>
  <c r="AC250" i="4"/>
  <c r="AB250" i="4"/>
  <c r="AA250" i="4"/>
  <c r="Z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AI249" i="4"/>
  <c r="AH249" i="4"/>
  <c r="AG249" i="4"/>
  <c r="AF249" i="4"/>
  <c r="AE249" i="4"/>
  <c r="AD249" i="4"/>
  <c r="AC249" i="4"/>
  <c r="AB249" i="4"/>
  <c r="AA249" i="4"/>
  <c r="Z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AI248" i="4"/>
  <c r="AH248" i="4"/>
  <c r="AG248" i="4"/>
  <c r="AF248" i="4"/>
  <c r="AE248" i="4"/>
  <c r="AD248" i="4"/>
  <c r="AC248" i="4"/>
  <c r="AB248" i="4"/>
  <c r="AA248" i="4"/>
  <c r="Z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AI247" i="4"/>
  <c r="AH247" i="4"/>
  <c r="AG247" i="4"/>
  <c r="AF247" i="4"/>
  <c r="AE247" i="4"/>
  <c r="AD247" i="4"/>
  <c r="AC247" i="4"/>
  <c r="AB247" i="4"/>
  <c r="AA247" i="4"/>
  <c r="Z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AI246" i="4"/>
  <c r="AH246" i="4"/>
  <c r="AG246" i="4"/>
  <c r="AF246" i="4"/>
  <c r="AE246" i="4"/>
  <c r="AD246" i="4"/>
  <c r="AC246" i="4"/>
  <c r="AB246" i="4"/>
  <c r="AA246" i="4"/>
  <c r="Z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AI245" i="4"/>
  <c r="AH245" i="4"/>
  <c r="AG245" i="4"/>
  <c r="AF245" i="4"/>
  <c r="AE245" i="4"/>
  <c r="AD245" i="4"/>
  <c r="AC245" i="4"/>
  <c r="AB245" i="4"/>
  <c r="AA245" i="4"/>
  <c r="Z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AI244" i="4"/>
  <c r="AH244" i="4"/>
  <c r="AG244" i="4"/>
  <c r="AF244" i="4"/>
  <c r="AE244" i="4"/>
  <c r="AD244" i="4"/>
  <c r="AC244" i="4"/>
  <c r="AB244" i="4"/>
  <c r="AA244" i="4"/>
  <c r="Z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AI243" i="4"/>
  <c r="AH243" i="4"/>
  <c r="AG243" i="4"/>
  <c r="AF243" i="4"/>
  <c r="AE243" i="4"/>
  <c r="AD243" i="4"/>
  <c r="AC243" i="4"/>
  <c r="AB243" i="4"/>
  <c r="AA243" i="4"/>
  <c r="Z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AI242" i="4"/>
  <c r="AH242" i="4"/>
  <c r="AG242" i="4"/>
  <c r="AF242" i="4"/>
  <c r="AE242" i="4"/>
  <c r="AD242" i="4"/>
  <c r="AC242" i="4"/>
  <c r="AB242" i="4"/>
  <c r="AA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AI241" i="4"/>
  <c r="AH241" i="4"/>
  <c r="AG241" i="4"/>
  <c r="AF241" i="4"/>
  <c r="AE241" i="4"/>
  <c r="AD241" i="4"/>
  <c r="AC241" i="4"/>
  <c r="AB241" i="4"/>
  <c r="AA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AI240" i="4"/>
  <c r="AH240" i="4"/>
  <c r="AG240" i="4"/>
  <c r="AF240" i="4"/>
  <c r="AE240" i="4"/>
  <c r="AD240" i="4"/>
  <c r="AC240" i="4"/>
  <c r="AB240" i="4"/>
  <c r="AA240" i="4"/>
  <c r="Z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AI239" i="4"/>
  <c r="AH239" i="4"/>
  <c r="AG239" i="4"/>
  <c r="AF239" i="4"/>
  <c r="AE239" i="4"/>
  <c r="AD239" i="4"/>
  <c r="AC239" i="4"/>
  <c r="AB239" i="4"/>
  <c r="AA239" i="4"/>
  <c r="Z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AI238" i="4"/>
  <c r="AH238" i="4"/>
  <c r="AG238" i="4"/>
  <c r="AF238" i="4"/>
  <c r="AE238" i="4"/>
  <c r="AD238" i="4"/>
  <c r="AC238" i="4"/>
  <c r="AB238" i="4"/>
  <c r="AA238" i="4"/>
  <c r="Z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AI237" i="4"/>
  <c r="AH237" i="4"/>
  <c r="AG237" i="4"/>
  <c r="AF237" i="4"/>
  <c r="AE237" i="4"/>
  <c r="AD237" i="4"/>
  <c r="AC237" i="4"/>
  <c r="AB237" i="4"/>
  <c r="AA237" i="4"/>
  <c r="Z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AI236" i="4"/>
  <c r="AH236" i="4"/>
  <c r="AG236" i="4"/>
  <c r="AF236" i="4"/>
  <c r="AE236" i="4"/>
  <c r="AD236" i="4"/>
  <c r="AC236" i="4"/>
  <c r="AB236" i="4"/>
  <c r="AA236" i="4"/>
  <c r="Z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AI235" i="4"/>
  <c r="AH235" i="4"/>
  <c r="AG235" i="4"/>
  <c r="AF235" i="4"/>
  <c r="AE235" i="4"/>
  <c r="AD235" i="4"/>
  <c r="AC235" i="4"/>
  <c r="AB235" i="4"/>
  <c r="AA235" i="4"/>
  <c r="Z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AI234" i="4"/>
  <c r="AH234" i="4"/>
  <c r="AG234" i="4"/>
  <c r="AF234" i="4"/>
  <c r="AE234" i="4"/>
  <c r="AD234" i="4"/>
  <c r="AC234" i="4"/>
  <c r="AB234" i="4"/>
  <c r="AA234" i="4"/>
  <c r="Z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AI233" i="4"/>
  <c r="AH233" i="4"/>
  <c r="AG233" i="4"/>
  <c r="AF233" i="4"/>
  <c r="AE233" i="4"/>
  <c r="AD233" i="4"/>
  <c r="AC233" i="4"/>
  <c r="AB233" i="4"/>
  <c r="AA233" i="4"/>
  <c r="Z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AI232" i="4"/>
  <c r="AH232" i="4"/>
  <c r="AG232" i="4"/>
  <c r="AF232" i="4"/>
  <c r="AE232" i="4"/>
  <c r="AD232" i="4"/>
  <c r="AC232" i="4"/>
  <c r="AB232" i="4"/>
  <c r="AA232" i="4"/>
  <c r="Z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AI231" i="4"/>
  <c r="AH231" i="4"/>
  <c r="AG231" i="4"/>
  <c r="AF231" i="4"/>
  <c r="AE231" i="4"/>
  <c r="AD231" i="4"/>
  <c r="AC231" i="4"/>
  <c r="AB231" i="4"/>
  <c r="AA231" i="4"/>
  <c r="Z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AI230" i="4"/>
  <c r="AH230" i="4"/>
  <c r="AG230" i="4"/>
  <c r="AF230" i="4"/>
  <c r="AE230" i="4"/>
  <c r="AD230" i="4"/>
  <c r="AC230" i="4"/>
  <c r="AB230" i="4"/>
  <c r="AA230" i="4"/>
  <c r="Z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AI229" i="4"/>
  <c r="AH229" i="4"/>
  <c r="AG229" i="4"/>
  <c r="AF229" i="4"/>
  <c r="AE229" i="4"/>
  <c r="AD229" i="4"/>
  <c r="AC229" i="4"/>
  <c r="AB229" i="4"/>
  <c r="AA229" i="4"/>
  <c r="Z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AI228" i="4"/>
  <c r="AH228" i="4"/>
  <c r="AG228" i="4"/>
  <c r="AF228" i="4"/>
  <c r="AE228" i="4"/>
  <c r="AD228" i="4"/>
  <c r="AC228" i="4"/>
  <c r="AB228" i="4"/>
  <c r="AA228" i="4"/>
  <c r="Z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AI227" i="4"/>
  <c r="AH227" i="4"/>
  <c r="AG227" i="4"/>
  <c r="AF227" i="4"/>
  <c r="AE227" i="4"/>
  <c r="AD227" i="4"/>
  <c r="AC227" i="4"/>
  <c r="AB227" i="4"/>
  <c r="AA227" i="4"/>
  <c r="Z227" i="4"/>
  <c r="U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AI226" i="4"/>
  <c r="AH226" i="4"/>
  <c r="AG226" i="4"/>
  <c r="AF226" i="4"/>
  <c r="AE226" i="4"/>
  <c r="AD226" i="4"/>
  <c r="AC226" i="4"/>
  <c r="AB226" i="4"/>
  <c r="AA226" i="4"/>
  <c r="Z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AI225" i="4"/>
  <c r="AH225" i="4"/>
  <c r="AG225" i="4"/>
  <c r="AF225" i="4"/>
  <c r="AE225" i="4"/>
  <c r="AD225" i="4"/>
  <c r="AC225" i="4"/>
  <c r="AB225" i="4"/>
  <c r="AA225" i="4"/>
  <c r="Z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AI224" i="4"/>
  <c r="AH224" i="4"/>
  <c r="AG224" i="4"/>
  <c r="AF224" i="4"/>
  <c r="AE224" i="4"/>
  <c r="AD224" i="4"/>
  <c r="AC224" i="4"/>
  <c r="AB224" i="4"/>
  <c r="AA224" i="4"/>
  <c r="Z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AI223" i="4"/>
  <c r="AH223" i="4"/>
  <c r="AG223" i="4"/>
  <c r="AF223" i="4"/>
  <c r="AE223" i="4"/>
  <c r="AD223" i="4"/>
  <c r="AC223" i="4"/>
  <c r="AB223" i="4"/>
  <c r="AA223" i="4"/>
  <c r="Z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AI222" i="4"/>
  <c r="AH222" i="4"/>
  <c r="AG222" i="4"/>
  <c r="AF222" i="4"/>
  <c r="AE222" i="4"/>
  <c r="AD222" i="4"/>
  <c r="AC222" i="4"/>
  <c r="AB222" i="4"/>
  <c r="AA222" i="4"/>
  <c r="Z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AI221" i="4"/>
  <c r="AH221" i="4"/>
  <c r="AG221" i="4"/>
  <c r="AF221" i="4"/>
  <c r="AE221" i="4"/>
  <c r="AD221" i="4"/>
  <c r="AC221" i="4"/>
  <c r="AB221" i="4"/>
  <c r="AA221" i="4"/>
  <c r="Z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AI220" i="4"/>
  <c r="AH220" i="4"/>
  <c r="AG220" i="4"/>
  <c r="AF220" i="4"/>
  <c r="AE220" i="4"/>
  <c r="AD220" i="4"/>
  <c r="AC220" i="4"/>
  <c r="AB220" i="4"/>
  <c r="AA220" i="4"/>
  <c r="Z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AI219" i="4"/>
  <c r="AH219" i="4"/>
  <c r="AG219" i="4"/>
  <c r="AF219" i="4"/>
  <c r="AE219" i="4"/>
  <c r="AD219" i="4"/>
  <c r="AC219" i="4"/>
  <c r="AB219" i="4"/>
  <c r="AA219" i="4"/>
  <c r="Z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AI218" i="4"/>
  <c r="AH218" i="4"/>
  <c r="AG218" i="4"/>
  <c r="AF218" i="4"/>
  <c r="AE218" i="4"/>
  <c r="AD218" i="4"/>
  <c r="AC218" i="4"/>
  <c r="AB218" i="4"/>
  <c r="AA218" i="4"/>
  <c r="Z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AI217" i="4"/>
  <c r="AH217" i="4"/>
  <c r="AG217" i="4"/>
  <c r="AF217" i="4"/>
  <c r="AE217" i="4"/>
  <c r="AD217" i="4"/>
  <c r="AC217" i="4"/>
  <c r="AB217" i="4"/>
  <c r="AA217" i="4"/>
  <c r="Z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AI216" i="4"/>
  <c r="AH216" i="4"/>
  <c r="AG216" i="4"/>
  <c r="AF216" i="4"/>
  <c r="AE216" i="4"/>
  <c r="AD216" i="4"/>
  <c r="AC216" i="4"/>
  <c r="AB216" i="4"/>
  <c r="AA216" i="4"/>
  <c r="Z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AI215" i="4"/>
  <c r="AH215" i="4"/>
  <c r="AG215" i="4"/>
  <c r="AF215" i="4"/>
  <c r="AE215" i="4"/>
  <c r="AD215" i="4"/>
  <c r="AC215" i="4"/>
  <c r="AB215" i="4"/>
  <c r="AA215" i="4"/>
  <c r="Z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AI214" i="4"/>
  <c r="AH214" i="4"/>
  <c r="AG214" i="4"/>
  <c r="AF214" i="4"/>
  <c r="AE214" i="4"/>
  <c r="AD214" i="4"/>
  <c r="AC214" i="4"/>
  <c r="AB214" i="4"/>
  <c r="AA214" i="4"/>
  <c r="Z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AI213" i="4"/>
  <c r="AH213" i="4"/>
  <c r="AG213" i="4"/>
  <c r="AF213" i="4"/>
  <c r="AE213" i="4"/>
  <c r="AD213" i="4"/>
  <c r="AC213" i="4"/>
  <c r="AB213" i="4"/>
  <c r="AA213" i="4"/>
  <c r="Z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AI212" i="4"/>
  <c r="AH212" i="4"/>
  <c r="AG212" i="4"/>
  <c r="AF212" i="4"/>
  <c r="AE212" i="4"/>
  <c r="AD212" i="4"/>
  <c r="AC212" i="4"/>
  <c r="AB212" i="4"/>
  <c r="AA212" i="4"/>
  <c r="Z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AI211" i="4"/>
  <c r="AH211" i="4"/>
  <c r="AG211" i="4"/>
  <c r="AF211" i="4"/>
  <c r="AE211" i="4"/>
  <c r="AD211" i="4"/>
  <c r="AC211" i="4"/>
  <c r="AB211" i="4"/>
  <c r="AA211" i="4"/>
  <c r="Z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AI210" i="4"/>
  <c r="AH210" i="4"/>
  <c r="AG210" i="4"/>
  <c r="AF210" i="4"/>
  <c r="AE210" i="4"/>
  <c r="AD210" i="4"/>
  <c r="AC210" i="4"/>
  <c r="AB210" i="4"/>
  <c r="AA210" i="4"/>
  <c r="Z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AI209" i="4"/>
  <c r="AH209" i="4"/>
  <c r="AG209" i="4"/>
  <c r="AF209" i="4"/>
  <c r="AE209" i="4"/>
  <c r="AD209" i="4"/>
  <c r="AC209" i="4"/>
  <c r="AB209" i="4"/>
  <c r="AA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AI208" i="4"/>
  <c r="AH208" i="4"/>
  <c r="AG208" i="4"/>
  <c r="AF208" i="4"/>
  <c r="AE208" i="4"/>
  <c r="AD208" i="4"/>
  <c r="AC208" i="4"/>
  <c r="AB208" i="4"/>
  <c r="AA208" i="4"/>
  <c r="Z208" i="4"/>
  <c r="U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AI207" i="4"/>
  <c r="AH207" i="4"/>
  <c r="AG207" i="4"/>
  <c r="AF207" i="4"/>
  <c r="AE207" i="4"/>
  <c r="AD207" i="4"/>
  <c r="AC207" i="4"/>
  <c r="AB207" i="4"/>
  <c r="AA207" i="4"/>
  <c r="Z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AI206" i="4"/>
  <c r="AH206" i="4"/>
  <c r="AG206" i="4"/>
  <c r="AF206" i="4"/>
  <c r="AE206" i="4"/>
  <c r="AD206" i="4"/>
  <c r="AC206" i="4"/>
  <c r="AB206" i="4"/>
  <c r="AA206" i="4"/>
  <c r="Z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AI205" i="4"/>
  <c r="AH205" i="4"/>
  <c r="AG205" i="4"/>
  <c r="AF205" i="4"/>
  <c r="AE205" i="4"/>
  <c r="AD205" i="4"/>
  <c r="AC205" i="4"/>
  <c r="AB205" i="4"/>
  <c r="AA205" i="4"/>
  <c r="Z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AI204" i="4"/>
  <c r="AH204" i="4"/>
  <c r="AG204" i="4"/>
  <c r="AF204" i="4"/>
  <c r="AE204" i="4"/>
  <c r="AD204" i="4"/>
  <c r="AC204" i="4"/>
  <c r="AB204" i="4"/>
  <c r="AA204" i="4"/>
  <c r="Z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AI203" i="4"/>
  <c r="AH203" i="4"/>
  <c r="AG203" i="4"/>
  <c r="AF203" i="4"/>
  <c r="AE203" i="4"/>
  <c r="AD203" i="4"/>
  <c r="AC203" i="4"/>
  <c r="AB203" i="4"/>
  <c r="AA203" i="4"/>
  <c r="Z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AI202" i="4"/>
  <c r="AH202" i="4"/>
  <c r="AG202" i="4"/>
  <c r="AF202" i="4"/>
  <c r="AE202" i="4"/>
  <c r="AD202" i="4"/>
  <c r="AC202" i="4"/>
  <c r="AB202" i="4"/>
  <c r="AA202" i="4"/>
  <c r="Z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AI201" i="4"/>
  <c r="AH201" i="4"/>
  <c r="AG201" i="4"/>
  <c r="AF201" i="4"/>
  <c r="AE201" i="4"/>
  <c r="AD201" i="4"/>
  <c r="AC201" i="4"/>
  <c r="AB201" i="4"/>
  <c r="AA201" i="4"/>
  <c r="Z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AI200" i="4"/>
  <c r="AH200" i="4"/>
  <c r="AG200" i="4"/>
  <c r="AF200" i="4"/>
  <c r="AE200" i="4"/>
  <c r="AD200" i="4"/>
  <c r="AC200" i="4"/>
  <c r="AB200" i="4"/>
  <c r="AA200" i="4"/>
  <c r="Z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AI199" i="4"/>
  <c r="AH199" i="4"/>
  <c r="AG199" i="4"/>
  <c r="AF199" i="4"/>
  <c r="AE199" i="4"/>
  <c r="AD199" i="4"/>
  <c r="AC199" i="4"/>
  <c r="AB199" i="4"/>
  <c r="AA199" i="4"/>
  <c r="Z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AI198" i="4"/>
  <c r="AH198" i="4"/>
  <c r="AG198" i="4"/>
  <c r="AF198" i="4"/>
  <c r="AE198" i="4"/>
  <c r="AD198" i="4"/>
  <c r="AC198" i="4"/>
  <c r="AB198" i="4"/>
  <c r="AA198" i="4"/>
  <c r="Z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AI197" i="4"/>
  <c r="AH197" i="4"/>
  <c r="AG197" i="4"/>
  <c r="AF197" i="4"/>
  <c r="AE197" i="4"/>
  <c r="AD197" i="4"/>
  <c r="AC197" i="4"/>
  <c r="AB197" i="4"/>
  <c r="AA197" i="4"/>
  <c r="Z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AI196" i="4"/>
  <c r="AH196" i="4"/>
  <c r="AG196" i="4"/>
  <c r="AF196" i="4"/>
  <c r="AE196" i="4"/>
  <c r="AD196" i="4"/>
  <c r="AC196" i="4"/>
  <c r="AB196" i="4"/>
  <c r="AA196" i="4"/>
  <c r="Z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AI195" i="4"/>
  <c r="AH195" i="4"/>
  <c r="AG195" i="4"/>
  <c r="AF195" i="4"/>
  <c r="AE195" i="4"/>
  <c r="AD195" i="4"/>
  <c r="AC195" i="4"/>
  <c r="AB195" i="4"/>
  <c r="AA195" i="4"/>
  <c r="Z195" i="4"/>
  <c r="U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AI194" i="4"/>
  <c r="AH194" i="4"/>
  <c r="AG194" i="4"/>
  <c r="AF194" i="4"/>
  <c r="AE194" i="4"/>
  <c r="AD194" i="4"/>
  <c r="AC194" i="4"/>
  <c r="AB194" i="4"/>
  <c r="AA194" i="4"/>
  <c r="Z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AI193" i="4"/>
  <c r="AH193" i="4"/>
  <c r="AG193" i="4"/>
  <c r="AF193" i="4"/>
  <c r="AE193" i="4"/>
  <c r="AD193" i="4"/>
  <c r="AC193" i="4"/>
  <c r="AB193" i="4"/>
  <c r="AA193" i="4"/>
  <c r="Z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AI192" i="4"/>
  <c r="AH192" i="4"/>
  <c r="AG192" i="4"/>
  <c r="AF192" i="4"/>
  <c r="AE192" i="4"/>
  <c r="AD192" i="4"/>
  <c r="AC192" i="4"/>
  <c r="AB192" i="4"/>
  <c r="AA192" i="4"/>
  <c r="Z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AI191" i="4"/>
  <c r="AH191" i="4"/>
  <c r="AG191" i="4"/>
  <c r="AF191" i="4"/>
  <c r="AE191" i="4"/>
  <c r="AD191" i="4"/>
  <c r="AC191" i="4"/>
  <c r="AB191" i="4"/>
  <c r="AA191" i="4"/>
  <c r="Z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AI190" i="4"/>
  <c r="AH190" i="4"/>
  <c r="AG190" i="4"/>
  <c r="AF190" i="4"/>
  <c r="AE190" i="4"/>
  <c r="AD190" i="4"/>
  <c r="AC190" i="4"/>
  <c r="AB190" i="4"/>
  <c r="AA190" i="4"/>
  <c r="Z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AI189" i="4"/>
  <c r="AH189" i="4"/>
  <c r="AG189" i="4"/>
  <c r="AF189" i="4"/>
  <c r="AE189" i="4"/>
  <c r="AD189" i="4"/>
  <c r="AC189" i="4"/>
  <c r="AB189" i="4"/>
  <c r="AA189" i="4"/>
  <c r="Z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AI188" i="4"/>
  <c r="AH188" i="4"/>
  <c r="AG188" i="4"/>
  <c r="AF188" i="4"/>
  <c r="AE188" i="4"/>
  <c r="AD188" i="4"/>
  <c r="AC188" i="4"/>
  <c r="AB188" i="4"/>
  <c r="AA188" i="4"/>
  <c r="Z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AI187" i="4"/>
  <c r="AH187" i="4"/>
  <c r="AG187" i="4"/>
  <c r="AF187" i="4"/>
  <c r="AE187" i="4"/>
  <c r="AD187" i="4"/>
  <c r="AC187" i="4"/>
  <c r="AB187" i="4"/>
  <c r="AA187" i="4"/>
  <c r="Z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AI186" i="4"/>
  <c r="AH186" i="4"/>
  <c r="AG186" i="4"/>
  <c r="AF186" i="4"/>
  <c r="AE186" i="4"/>
  <c r="AD186" i="4"/>
  <c r="AC186" i="4"/>
  <c r="AB186" i="4"/>
  <c r="AA186" i="4"/>
  <c r="Z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AI185" i="4"/>
  <c r="AA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AI184" i="4"/>
  <c r="AA184" i="4"/>
  <c r="Z184" i="4"/>
  <c r="U184" i="4"/>
  <c r="R184" i="4"/>
  <c r="Q184" i="4"/>
  <c r="P184" i="4"/>
  <c r="O184" i="4"/>
  <c r="N184" i="4"/>
  <c r="M184" i="4"/>
  <c r="L184" i="4"/>
  <c r="K184" i="4"/>
  <c r="J184" i="4"/>
  <c r="I184" i="4"/>
  <c r="G184" i="4"/>
  <c r="F184" i="4"/>
  <c r="E184" i="4"/>
  <c r="D184" i="4"/>
  <c r="C184" i="4"/>
  <c r="B184" i="4"/>
  <c r="A184" i="4"/>
  <c r="AI183" i="4"/>
  <c r="AH183" i="4"/>
  <c r="AG183" i="4"/>
  <c r="AF183" i="4"/>
  <c r="AE183" i="4"/>
  <c r="AD183" i="4"/>
  <c r="AC183" i="4"/>
  <c r="AB183" i="4"/>
  <c r="AA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AI182" i="4"/>
  <c r="AH182" i="4"/>
  <c r="AG182" i="4"/>
  <c r="AF182" i="4"/>
  <c r="AE182" i="4"/>
  <c r="AD182" i="4"/>
  <c r="AC182" i="4"/>
  <c r="AB182" i="4"/>
  <c r="AA182" i="4"/>
  <c r="Z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AI181" i="4"/>
  <c r="AH181" i="4"/>
  <c r="AG181" i="4"/>
  <c r="AF181" i="4"/>
  <c r="AE181" i="4"/>
  <c r="AD181" i="4"/>
  <c r="AC181" i="4"/>
  <c r="AB181" i="4"/>
  <c r="AA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AI180" i="4"/>
  <c r="AA180" i="4"/>
  <c r="Z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AI179" i="4"/>
  <c r="AH179" i="4"/>
  <c r="AG179" i="4"/>
  <c r="AF179" i="4"/>
  <c r="AE179" i="4"/>
  <c r="AD179" i="4"/>
  <c r="AC179" i="4"/>
  <c r="AB179" i="4"/>
  <c r="AA179" i="4"/>
  <c r="Z179" i="4"/>
  <c r="U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AI178" i="4"/>
  <c r="AH178" i="4"/>
  <c r="AG178" i="4"/>
  <c r="AF178" i="4"/>
  <c r="AE178" i="4"/>
  <c r="AD178" i="4"/>
  <c r="AC178" i="4"/>
  <c r="AB178" i="4"/>
  <c r="AA178" i="4"/>
  <c r="Z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AI177" i="4"/>
  <c r="AH177" i="4"/>
  <c r="AG177" i="4"/>
  <c r="AF177" i="4"/>
  <c r="AE177" i="4"/>
  <c r="AD177" i="4"/>
  <c r="AC177" i="4"/>
  <c r="AB177" i="4"/>
  <c r="AA177" i="4"/>
  <c r="Z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AI176" i="4"/>
  <c r="AH176" i="4"/>
  <c r="AG176" i="4"/>
  <c r="AF176" i="4"/>
  <c r="AE176" i="4"/>
  <c r="AD176" i="4"/>
  <c r="AC176" i="4"/>
  <c r="AB176" i="4"/>
  <c r="AA176" i="4"/>
  <c r="Z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AI175" i="4"/>
  <c r="AH175" i="4"/>
  <c r="AG175" i="4"/>
  <c r="AF175" i="4"/>
  <c r="AE175" i="4"/>
  <c r="AD175" i="4"/>
  <c r="AC175" i="4"/>
  <c r="AB175" i="4"/>
  <c r="AA175" i="4"/>
  <c r="Z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AI174" i="4"/>
  <c r="AH174" i="4"/>
  <c r="AG174" i="4"/>
  <c r="AF174" i="4"/>
  <c r="AE174" i="4"/>
  <c r="AD174" i="4"/>
  <c r="AC174" i="4"/>
  <c r="AB174" i="4"/>
  <c r="AA174" i="4"/>
  <c r="Z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AI173" i="4"/>
  <c r="AH173" i="4"/>
  <c r="AG173" i="4"/>
  <c r="AF173" i="4"/>
  <c r="AE173" i="4"/>
  <c r="AD173" i="4"/>
  <c r="AC173" i="4"/>
  <c r="AB173" i="4"/>
  <c r="AA173" i="4"/>
  <c r="Z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AI172" i="4"/>
  <c r="AH172" i="4"/>
  <c r="AG172" i="4"/>
  <c r="AF172" i="4"/>
  <c r="AE172" i="4"/>
  <c r="AD172" i="4"/>
  <c r="AC172" i="4"/>
  <c r="AB172" i="4"/>
  <c r="AA172" i="4"/>
  <c r="Z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AI171" i="4"/>
  <c r="AH171" i="4"/>
  <c r="AG171" i="4"/>
  <c r="AF171" i="4"/>
  <c r="AE171" i="4"/>
  <c r="AD171" i="4"/>
  <c r="AC171" i="4"/>
  <c r="AB171" i="4"/>
  <c r="AA171" i="4"/>
  <c r="Z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AI170" i="4"/>
  <c r="AH170" i="4"/>
  <c r="AG170" i="4"/>
  <c r="AF170" i="4"/>
  <c r="AE170" i="4"/>
  <c r="AD170" i="4"/>
  <c r="AC170" i="4"/>
  <c r="AB170" i="4"/>
  <c r="AA170" i="4"/>
  <c r="Z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AI169" i="4"/>
  <c r="AH169" i="4"/>
  <c r="AG169" i="4"/>
  <c r="AF169" i="4"/>
  <c r="AE169" i="4"/>
  <c r="AD169" i="4"/>
  <c r="AC169" i="4"/>
  <c r="AB169" i="4"/>
  <c r="AA169" i="4"/>
  <c r="Z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AI168" i="4"/>
  <c r="AH168" i="4"/>
  <c r="AG168" i="4"/>
  <c r="AF168" i="4"/>
  <c r="AE168" i="4"/>
  <c r="AD168" i="4"/>
  <c r="AC168" i="4"/>
  <c r="AB168" i="4"/>
  <c r="AA168" i="4"/>
  <c r="Z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AI167" i="4"/>
  <c r="AH167" i="4"/>
  <c r="AG167" i="4"/>
  <c r="AF167" i="4"/>
  <c r="AE167" i="4"/>
  <c r="AD167" i="4"/>
  <c r="AC167" i="4"/>
  <c r="AB167" i="4"/>
  <c r="AA167" i="4"/>
  <c r="Z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AI166" i="4"/>
  <c r="AH166" i="4"/>
  <c r="AG166" i="4"/>
  <c r="AF166" i="4"/>
  <c r="AE166" i="4"/>
  <c r="AD166" i="4"/>
  <c r="AC166" i="4"/>
  <c r="AB166" i="4"/>
  <c r="AA166" i="4"/>
  <c r="Z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AI165" i="4"/>
  <c r="AH165" i="4"/>
  <c r="AG165" i="4"/>
  <c r="AF165" i="4"/>
  <c r="AE165" i="4"/>
  <c r="AD165" i="4"/>
  <c r="AC165" i="4"/>
  <c r="AB165" i="4"/>
  <c r="AA165" i="4"/>
  <c r="Z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AI164" i="4"/>
  <c r="AH164" i="4"/>
  <c r="AG164" i="4"/>
  <c r="AF164" i="4"/>
  <c r="AE164" i="4"/>
  <c r="AD164" i="4"/>
  <c r="AC164" i="4"/>
  <c r="AB164" i="4"/>
  <c r="AA164" i="4"/>
  <c r="Z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AI163" i="4"/>
  <c r="AH163" i="4"/>
  <c r="AG163" i="4"/>
  <c r="AF163" i="4"/>
  <c r="AE163" i="4"/>
  <c r="AD163" i="4"/>
  <c r="AC163" i="4"/>
  <c r="AB163" i="4"/>
  <c r="AA163" i="4"/>
  <c r="Z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AI162" i="4"/>
  <c r="AH162" i="4"/>
  <c r="AG162" i="4"/>
  <c r="AF162" i="4"/>
  <c r="AE162" i="4"/>
  <c r="AD162" i="4"/>
  <c r="AC162" i="4"/>
  <c r="AB162" i="4"/>
  <c r="AA162" i="4"/>
  <c r="Z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AI161" i="4"/>
  <c r="AH161" i="4"/>
  <c r="AG161" i="4"/>
  <c r="AF161" i="4"/>
  <c r="AE161" i="4"/>
  <c r="AD161" i="4"/>
  <c r="AC161" i="4"/>
  <c r="AB161" i="4"/>
  <c r="AA161" i="4"/>
  <c r="Z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AI160" i="4"/>
  <c r="AH160" i="4"/>
  <c r="AG160" i="4"/>
  <c r="AF160" i="4"/>
  <c r="AE160" i="4"/>
  <c r="AD160" i="4"/>
  <c r="AC160" i="4"/>
  <c r="AB160" i="4"/>
  <c r="AA160" i="4"/>
  <c r="Z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AI159" i="4"/>
  <c r="AH159" i="4"/>
  <c r="AG159" i="4"/>
  <c r="AF159" i="4"/>
  <c r="AE159" i="4"/>
  <c r="AD159" i="4"/>
  <c r="AC159" i="4"/>
  <c r="AB159" i="4"/>
  <c r="AA159" i="4"/>
  <c r="Z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AI158" i="4"/>
  <c r="AH158" i="4"/>
  <c r="AG158" i="4"/>
  <c r="AF158" i="4"/>
  <c r="AE158" i="4"/>
  <c r="AD158" i="4"/>
  <c r="AC158" i="4"/>
  <c r="AB158" i="4"/>
  <c r="AA158" i="4"/>
  <c r="Z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AI157" i="4"/>
  <c r="AH157" i="4"/>
  <c r="AG157" i="4"/>
  <c r="AF157" i="4"/>
  <c r="AE157" i="4"/>
  <c r="AD157" i="4"/>
  <c r="AC157" i="4"/>
  <c r="AB157" i="4"/>
  <c r="AA157" i="4"/>
  <c r="Z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AI156" i="4"/>
  <c r="AH156" i="4"/>
  <c r="AG156" i="4"/>
  <c r="AF156" i="4"/>
  <c r="AE156" i="4"/>
  <c r="AD156" i="4"/>
  <c r="AC156" i="4"/>
  <c r="AB156" i="4"/>
  <c r="AA156" i="4"/>
  <c r="Z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AI155" i="4"/>
  <c r="AH155" i="4"/>
  <c r="AG155" i="4"/>
  <c r="AF155" i="4"/>
  <c r="AE155" i="4"/>
  <c r="AD155" i="4"/>
  <c r="AC155" i="4"/>
  <c r="AB155" i="4"/>
  <c r="AA155" i="4"/>
  <c r="Z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AI154" i="4"/>
  <c r="AH154" i="4"/>
  <c r="AG154" i="4"/>
  <c r="AF154" i="4"/>
  <c r="AE154" i="4"/>
  <c r="AD154" i="4"/>
  <c r="AC154" i="4"/>
  <c r="AB154" i="4"/>
  <c r="AA154" i="4"/>
  <c r="Z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AI153" i="4"/>
  <c r="AH153" i="4"/>
  <c r="AG153" i="4"/>
  <c r="AF153" i="4"/>
  <c r="AE153" i="4"/>
  <c r="AD153" i="4"/>
  <c r="AC153" i="4"/>
  <c r="AB153" i="4"/>
  <c r="AA153" i="4"/>
  <c r="Z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AI152" i="4"/>
  <c r="AH152" i="4"/>
  <c r="AG152" i="4"/>
  <c r="AF152" i="4"/>
  <c r="AE152" i="4"/>
  <c r="AD152" i="4"/>
  <c r="AC152" i="4"/>
  <c r="AB152" i="4"/>
  <c r="AA152" i="4"/>
  <c r="Z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AI151" i="4"/>
  <c r="AH151" i="4"/>
  <c r="AG151" i="4"/>
  <c r="AF151" i="4"/>
  <c r="AE151" i="4"/>
  <c r="AD151" i="4"/>
  <c r="AC151" i="4"/>
  <c r="AB151" i="4"/>
  <c r="AA151" i="4"/>
  <c r="Z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AI150" i="4"/>
  <c r="AH150" i="4"/>
  <c r="AG150" i="4"/>
  <c r="AF150" i="4"/>
  <c r="AE150" i="4"/>
  <c r="AD150" i="4"/>
  <c r="AC150" i="4"/>
  <c r="AB150" i="4"/>
  <c r="AA150" i="4"/>
  <c r="Z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AI149" i="4"/>
  <c r="AH149" i="4"/>
  <c r="AG149" i="4"/>
  <c r="AF149" i="4"/>
  <c r="AE149" i="4"/>
  <c r="AD149" i="4"/>
  <c r="AC149" i="4"/>
  <c r="AB149" i="4"/>
  <c r="AA149" i="4"/>
  <c r="Z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AI148" i="4"/>
  <c r="AH148" i="4"/>
  <c r="AG148" i="4"/>
  <c r="AF148" i="4"/>
  <c r="AE148" i="4"/>
  <c r="AD148" i="4"/>
  <c r="AC148" i="4"/>
  <c r="AB148" i="4"/>
  <c r="AA148" i="4"/>
  <c r="Z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AI147" i="4"/>
  <c r="AH147" i="4"/>
  <c r="AG147" i="4"/>
  <c r="AF147" i="4"/>
  <c r="AE147" i="4"/>
  <c r="AD147" i="4"/>
  <c r="AC147" i="4"/>
  <c r="AB147" i="4"/>
  <c r="AA147" i="4"/>
  <c r="Z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AI146" i="4"/>
  <c r="AH146" i="4"/>
  <c r="AG146" i="4"/>
  <c r="AF146" i="4"/>
  <c r="AE146" i="4"/>
  <c r="AD146" i="4"/>
  <c r="AC146" i="4"/>
  <c r="AB146" i="4"/>
  <c r="AA146" i="4"/>
  <c r="Z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AI145" i="4"/>
  <c r="AH145" i="4"/>
  <c r="AG145" i="4"/>
  <c r="AF145" i="4"/>
  <c r="AE145" i="4"/>
  <c r="AD145" i="4"/>
  <c r="AC145" i="4"/>
  <c r="AB145" i="4"/>
  <c r="AA145" i="4"/>
  <c r="Z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AI144" i="4"/>
  <c r="AH144" i="4"/>
  <c r="AG144" i="4"/>
  <c r="AF144" i="4"/>
  <c r="AE144" i="4"/>
  <c r="AD144" i="4"/>
  <c r="AC144" i="4"/>
  <c r="AB144" i="4"/>
  <c r="AA144" i="4"/>
  <c r="Z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AI143" i="4"/>
  <c r="AE143" i="4"/>
  <c r="AD143" i="4"/>
  <c r="AC143" i="4"/>
  <c r="AB143" i="4"/>
  <c r="AA143" i="4"/>
  <c r="Z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AI142" i="4"/>
  <c r="AH142" i="4"/>
  <c r="AG142" i="4"/>
  <c r="AF142" i="4"/>
  <c r="AE142" i="4"/>
  <c r="AD142" i="4"/>
  <c r="AC142" i="4"/>
  <c r="AB142" i="4"/>
  <c r="AA142" i="4"/>
  <c r="Z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AI141" i="4"/>
  <c r="AH141" i="4"/>
  <c r="AG141" i="4"/>
  <c r="AF141" i="4"/>
  <c r="AE141" i="4"/>
  <c r="AD141" i="4"/>
  <c r="AC141" i="4"/>
  <c r="AB141" i="4"/>
  <c r="AA141" i="4"/>
  <c r="Z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AI140" i="4"/>
  <c r="AH140" i="4"/>
  <c r="AG140" i="4"/>
  <c r="AF140" i="4"/>
  <c r="AE140" i="4"/>
  <c r="AD140" i="4"/>
  <c r="AC140" i="4"/>
  <c r="AB140" i="4"/>
  <c r="AA140" i="4"/>
  <c r="Z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AI139" i="4"/>
  <c r="AE139" i="4"/>
  <c r="AD139" i="4"/>
  <c r="AC139" i="4"/>
  <c r="AB139" i="4"/>
  <c r="AA139" i="4"/>
  <c r="Z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AI138" i="4"/>
  <c r="AH138" i="4"/>
  <c r="AG138" i="4"/>
  <c r="AF138" i="4"/>
  <c r="AE138" i="4"/>
  <c r="AD138" i="4"/>
  <c r="AC138" i="4"/>
  <c r="AB138" i="4"/>
  <c r="AA138" i="4"/>
  <c r="Z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AI137" i="4"/>
  <c r="AH137" i="4"/>
  <c r="AG137" i="4"/>
  <c r="AF137" i="4"/>
  <c r="AE137" i="4"/>
  <c r="AD137" i="4"/>
  <c r="AC137" i="4"/>
  <c r="AB137" i="4"/>
  <c r="AA137" i="4"/>
  <c r="Z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AI136" i="4"/>
  <c r="AH136" i="4"/>
  <c r="AG136" i="4"/>
  <c r="AF136" i="4"/>
  <c r="AE136" i="4"/>
  <c r="AD136" i="4"/>
  <c r="AC136" i="4"/>
  <c r="AB136" i="4"/>
  <c r="AA136" i="4"/>
  <c r="Z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AI135" i="4"/>
  <c r="AH135" i="4"/>
  <c r="AG135" i="4"/>
  <c r="AF135" i="4"/>
  <c r="AE135" i="4"/>
  <c r="AD135" i="4"/>
  <c r="AC135" i="4"/>
  <c r="AB135" i="4"/>
  <c r="AA135" i="4"/>
  <c r="Z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AI134" i="4"/>
  <c r="AH134" i="4"/>
  <c r="AG134" i="4"/>
  <c r="AF134" i="4"/>
  <c r="AE134" i="4"/>
  <c r="AD134" i="4"/>
  <c r="AC134" i="4"/>
  <c r="AB134" i="4"/>
  <c r="AA134" i="4"/>
  <c r="Z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AI133" i="4"/>
  <c r="AH133" i="4"/>
  <c r="AG133" i="4"/>
  <c r="AF133" i="4"/>
  <c r="AE133" i="4"/>
  <c r="AD133" i="4"/>
  <c r="AC133" i="4"/>
  <c r="AB133" i="4"/>
  <c r="AA133" i="4"/>
  <c r="Z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AI132" i="4"/>
  <c r="AH132" i="4"/>
  <c r="AG132" i="4"/>
  <c r="AF132" i="4"/>
  <c r="AE132" i="4"/>
  <c r="AD132" i="4"/>
  <c r="AC132" i="4"/>
  <c r="AB132" i="4"/>
  <c r="AA132" i="4"/>
  <c r="Z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AI131" i="4"/>
  <c r="AH131" i="4"/>
  <c r="AG131" i="4"/>
  <c r="AF131" i="4"/>
  <c r="AE131" i="4"/>
  <c r="AD131" i="4"/>
  <c r="AC131" i="4"/>
  <c r="AB131" i="4"/>
  <c r="AA131" i="4"/>
  <c r="Z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AI130" i="4"/>
  <c r="AH130" i="4"/>
  <c r="AG130" i="4"/>
  <c r="AF130" i="4"/>
  <c r="AE130" i="4"/>
  <c r="AD130" i="4"/>
  <c r="AC130" i="4"/>
  <c r="AB130" i="4"/>
  <c r="AA130" i="4"/>
  <c r="Z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AI129" i="4"/>
  <c r="AH129" i="4"/>
  <c r="AG129" i="4"/>
  <c r="AF129" i="4"/>
  <c r="AE129" i="4"/>
  <c r="AD129" i="4"/>
  <c r="AC129" i="4"/>
  <c r="AB129" i="4"/>
  <c r="AA129" i="4"/>
  <c r="Z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AI128" i="4"/>
  <c r="AH128" i="4"/>
  <c r="AG128" i="4"/>
  <c r="AF128" i="4"/>
  <c r="AE128" i="4"/>
  <c r="AD128" i="4"/>
  <c r="AC128" i="4"/>
  <c r="AB128" i="4"/>
  <c r="AA128" i="4"/>
  <c r="Z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AI127" i="4"/>
  <c r="AH127" i="4"/>
  <c r="AG127" i="4"/>
  <c r="AF127" i="4"/>
  <c r="AE127" i="4"/>
  <c r="AD127" i="4"/>
  <c r="AC127" i="4"/>
  <c r="AB127" i="4"/>
  <c r="AA127" i="4"/>
  <c r="Z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AI126" i="4"/>
  <c r="AH126" i="4"/>
  <c r="AG126" i="4"/>
  <c r="AF126" i="4"/>
  <c r="AE126" i="4"/>
  <c r="AD126" i="4"/>
  <c r="AC126" i="4"/>
  <c r="AB126" i="4"/>
  <c r="AA126" i="4"/>
  <c r="Z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AI125" i="4"/>
  <c r="AH125" i="4"/>
  <c r="AG125" i="4"/>
  <c r="AF125" i="4"/>
  <c r="AE125" i="4"/>
  <c r="AD125" i="4"/>
  <c r="AC125" i="4"/>
  <c r="AB125" i="4"/>
  <c r="AA125" i="4"/>
  <c r="Z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AI124" i="4"/>
  <c r="AH124" i="4"/>
  <c r="AG124" i="4"/>
  <c r="AF124" i="4"/>
  <c r="AE124" i="4"/>
  <c r="AD124" i="4"/>
  <c r="AC124" i="4"/>
  <c r="AB124" i="4"/>
  <c r="AA124" i="4"/>
  <c r="Z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AI123" i="4"/>
  <c r="AH123" i="4"/>
  <c r="AG123" i="4"/>
  <c r="AF123" i="4"/>
  <c r="AE123" i="4"/>
  <c r="AD123" i="4"/>
  <c r="AC123" i="4"/>
  <c r="AB123" i="4"/>
  <c r="AA123" i="4"/>
  <c r="Z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AI122" i="4"/>
  <c r="AH122" i="4"/>
  <c r="AG122" i="4"/>
  <c r="AF122" i="4"/>
  <c r="AE122" i="4"/>
  <c r="AD122" i="4"/>
  <c r="AC122" i="4"/>
  <c r="AB122" i="4"/>
  <c r="AA122" i="4"/>
  <c r="Z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AI121" i="4"/>
  <c r="AH121" i="4"/>
  <c r="AG121" i="4"/>
  <c r="AF121" i="4"/>
  <c r="AE121" i="4"/>
  <c r="AD121" i="4"/>
  <c r="AC121" i="4"/>
  <c r="AB121" i="4"/>
  <c r="AA121" i="4"/>
  <c r="Z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AI120" i="4"/>
  <c r="AH120" i="4"/>
  <c r="AG120" i="4"/>
  <c r="AF120" i="4"/>
  <c r="AE120" i="4"/>
  <c r="AD120" i="4"/>
  <c r="AC120" i="4"/>
  <c r="AB120" i="4"/>
  <c r="AA120" i="4"/>
  <c r="Z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AI119" i="4"/>
  <c r="AH119" i="4"/>
  <c r="AG119" i="4"/>
  <c r="AF119" i="4"/>
  <c r="AE119" i="4"/>
  <c r="AD119" i="4"/>
  <c r="AC119" i="4"/>
  <c r="AB119" i="4"/>
  <c r="AA119" i="4"/>
  <c r="Z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AI118" i="4"/>
  <c r="AH118" i="4"/>
  <c r="AG118" i="4"/>
  <c r="AF118" i="4"/>
  <c r="AE118" i="4"/>
  <c r="AD118" i="4"/>
  <c r="AC118" i="4"/>
  <c r="AB118" i="4"/>
  <c r="AA118" i="4"/>
  <c r="Z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AI117" i="4"/>
  <c r="AH117" i="4"/>
  <c r="AG117" i="4"/>
  <c r="AF117" i="4"/>
  <c r="AE117" i="4"/>
  <c r="AD117" i="4"/>
  <c r="AC117" i="4"/>
  <c r="AB117" i="4"/>
  <c r="AA117" i="4"/>
  <c r="Z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AI116" i="4"/>
  <c r="AH116" i="4"/>
  <c r="AG116" i="4"/>
  <c r="AF116" i="4"/>
  <c r="AE116" i="4"/>
  <c r="AD116" i="4"/>
  <c r="AC116" i="4"/>
  <c r="AB116" i="4"/>
  <c r="AA116" i="4"/>
  <c r="Z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AI115" i="4"/>
  <c r="AH115" i="4"/>
  <c r="AG115" i="4"/>
  <c r="AF115" i="4"/>
  <c r="AE115" i="4"/>
  <c r="AD115" i="4"/>
  <c r="AC115" i="4"/>
  <c r="AB115" i="4"/>
  <c r="AA115" i="4"/>
  <c r="Z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AI114" i="4"/>
  <c r="AH114" i="4"/>
  <c r="AG114" i="4"/>
  <c r="AF114" i="4"/>
  <c r="AE114" i="4"/>
  <c r="AD114" i="4"/>
  <c r="AC114" i="4"/>
  <c r="AB114" i="4"/>
  <c r="AA114" i="4"/>
  <c r="Z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AI113" i="4"/>
  <c r="AH113" i="4"/>
  <c r="AG113" i="4"/>
  <c r="AF113" i="4"/>
  <c r="AE113" i="4"/>
  <c r="AD113" i="4"/>
  <c r="AC113" i="4"/>
  <c r="AB113" i="4"/>
  <c r="AA113" i="4"/>
  <c r="Z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AI112" i="4"/>
  <c r="AH112" i="4"/>
  <c r="AG112" i="4"/>
  <c r="AF112" i="4"/>
  <c r="AE112" i="4"/>
  <c r="AD112" i="4"/>
  <c r="AC112" i="4"/>
  <c r="AB112" i="4"/>
  <c r="AA112" i="4"/>
  <c r="Z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AI111" i="4"/>
  <c r="AE111" i="4"/>
  <c r="AD111" i="4"/>
  <c r="AC111" i="4"/>
  <c r="AB111" i="4"/>
  <c r="AA111" i="4"/>
  <c r="Z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AI110" i="4"/>
  <c r="AH110" i="4"/>
  <c r="AG110" i="4"/>
  <c r="AF110" i="4"/>
  <c r="AE110" i="4"/>
  <c r="AD110" i="4"/>
  <c r="AC110" i="4"/>
  <c r="AB110" i="4"/>
  <c r="AA110" i="4"/>
  <c r="Z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AI109" i="4"/>
  <c r="AH109" i="4"/>
  <c r="AG109" i="4"/>
  <c r="AF109" i="4"/>
  <c r="AE109" i="4"/>
  <c r="AD109" i="4"/>
  <c r="AC109" i="4"/>
  <c r="AB109" i="4"/>
  <c r="AA109" i="4"/>
  <c r="Z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AI108" i="4"/>
  <c r="AH108" i="4"/>
  <c r="AG108" i="4"/>
  <c r="AF108" i="4"/>
  <c r="AE108" i="4"/>
  <c r="AD108" i="4"/>
  <c r="AC108" i="4"/>
  <c r="AB108" i="4"/>
  <c r="AA108" i="4"/>
  <c r="Z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AI107" i="4"/>
  <c r="AH107" i="4"/>
  <c r="AG107" i="4"/>
  <c r="AF107" i="4"/>
  <c r="AE107" i="4"/>
  <c r="AD107" i="4"/>
  <c r="AC107" i="4"/>
  <c r="AB107" i="4"/>
  <c r="AA107" i="4"/>
  <c r="Z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AI106" i="4"/>
  <c r="AH106" i="4"/>
  <c r="AG106" i="4"/>
  <c r="AF106" i="4"/>
  <c r="AE106" i="4"/>
  <c r="AD106" i="4"/>
  <c r="AC106" i="4"/>
  <c r="AB106" i="4"/>
  <c r="AA106" i="4"/>
  <c r="Z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AI105" i="4"/>
  <c r="AH105" i="4"/>
  <c r="AG105" i="4"/>
  <c r="AF105" i="4"/>
  <c r="AE105" i="4"/>
  <c r="AD105" i="4"/>
  <c r="AC105" i="4"/>
  <c r="AB105" i="4"/>
  <c r="AA105" i="4"/>
  <c r="Z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AI104" i="4"/>
  <c r="AH104" i="4"/>
  <c r="AG104" i="4"/>
  <c r="AF104" i="4"/>
  <c r="AE104" i="4"/>
  <c r="AD104" i="4"/>
  <c r="AC104" i="4"/>
  <c r="AB104" i="4"/>
  <c r="AA104" i="4"/>
  <c r="Z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AI103" i="4"/>
  <c r="AH103" i="4"/>
  <c r="AG103" i="4"/>
  <c r="AF103" i="4"/>
  <c r="AE103" i="4"/>
  <c r="AD103" i="4"/>
  <c r="AC103" i="4"/>
  <c r="AB103" i="4"/>
  <c r="AA103" i="4"/>
  <c r="Z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AI102" i="4"/>
  <c r="AH102" i="4"/>
  <c r="AG102" i="4"/>
  <c r="AF102" i="4"/>
  <c r="AE102" i="4"/>
  <c r="AD102" i="4"/>
  <c r="AC102" i="4"/>
  <c r="AB102" i="4"/>
  <c r="AA102" i="4"/>
  <c r="Z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AI101" i="4"/>
  <c r="AH101" i="4"/>
  <c r="AG101" i="4"/>
  <c r="AF101" i="4"/>
  <c r="AE101" i="4"/>
  <c r="AD101" i="4"/>
  <c r="AC101" i="4"/>
  <c r="AB101" i="4"/>
  <c r="AA101" i="4"/>
  <c r="Z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AI100" i="4"/>
  <c r="AH100" i="4"/>
  <c r="AG100" i="4"/>
  <c r="AF100" i="4"/>
  <c r="AE100" i="4"/>
  <c r="AD100" i="4"/>
  <c r="AC100" i="4"/>
  <c r="AB100" i="4"/>
  <c r="AA100" i="4"/>
  <c r="Z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AI99" i="4"/>
  <c r="AH99" i="4"/>
  <c r="AG99" i="4"/>
  <c r="AF99" i="4"/>
  <c r="AE99" i="4"/>
  <c r="AD99" i="4"/>
  <c r="AC99" i="4"/>
  <c r="AB99" i="4"/>
  <c r="AA99" i="4"/>
  <c r="Z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AI98" i="4"/>
  <c r="AH98" i="4"/>
  <c r="AG98" i="4"/>
  <c r="AF98" i="4"/>
  <c r="AE98" i="4"/>
  <c r="AD98" i="4"/>
  <c r="AC98" i="4"/>
  <c r="AB98" i="4"/>
  <c r="AA98" i="4"/>
  <c r="Z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AI97" i="4"/>
  <c r="AH97" i="4"/>
  <c r="AG97" i="4"/>
  <c r="AF97" i="4"/>
  <c r="AE97" i="4"/>
  <c r="AD97" i="4"/>
  <c r="AC97" i="4"/>
  <c r="AB97" i="4"/>
  <c r="AA97" i="4"/>
  <c r="Z97" i="4"/>
  <c r="U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AI96" i="4"/>
  <c r="AH96" i="4"/>
  <c r="AG96" i="4"/>
  <c r="AF96" i="4"/>
  <c r="AE96" i="4"/>
  <c r="AD96" i="4"/>
  <c r="AC96" i="4"/>
  <c r="AB96" i="4"/>
  <c r="AA96" i="4"/>
  <c r="Z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AI95" i="4"/>
  <c r="AH95" i="4"/>
  <c r="AG95" i="4"/>
  <c r="AF95" i="4"/>
  <c r="AE95" i="4"/>
  <c r="AD95" i="4"/>
  <c r="AC95" i="4"/>
  <c r="AB95" i="4"/>
  <c r="AA95" i="4"/>
  <c r="Z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AI94" i="4"/>
  <c r="AH94" i="4"/>
  <c r="AG94" i="4"/>
  <c r="AF94" i="4"/>
  <c r="AE94" i="4"/>
  <c r="AD94" i="4"/>
  <c r="AC94" i="4"/>
  <c r="AB94" i="4"/>
  <c r="AA94" i="4"/>
  <c r="Z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AI93" i="4"/>
  <c r="AH93" i="4"/>
  <c r="AG93" i="4"/>
  <c r="AF93" i="4"/>
  <c r="AE93" i="4"/>
  <c r="AD93" i="4"/>
  <c r="AC93" i="4"/>
  <c r="AB93" i="4"/>
  <c r="AA93" i="4"/>
  <c r="Z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I92" i="4"/>
  <c r="AH92" i="4"/>
  <c r="AG92" i="4"/>
  <c r="AF92" i="4"/>
  <c r="AE92" i="4"/>
  <c r="AD92" i="4"/>
  <c r="AC92" i="4"/>
  <c r="AB92" i="4"/>
  <c r="AA92" i="4"/>
  <c r="Z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AI91" i="4"/>
  <c r="AH91" i="4"/>
  <c r="AG91" i="4"/>
  <c r="AF91" i="4"/>
  <c r="AE91" i="4"/>
  <c r="AD91" i="4"/>
  <c r="AC91" i="4"/>
  <c r="AB91" i="4"/>
  <c r="AA91" i="4"/>
  <c r="Z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AI90" i="4"/>
  <c r="AH90" i="4"/>
  <c r="AG90" i="4"/>
  <c r="AF90" i="4"/>
  <c r="AE90" i="4"/>
  <c r="AD90" i="4"/>
  <c r="AC90" i="4"/>
  <c r="AB90" i="4"/>
  <c r="AA90" i="4"/>
  <c r="Z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AI89" i="4"/>
  <c r="AH89" i="4"/>
  <c r="AG89" i="4"/>
  <c r="AF89" i="4"/>
  <c r="AE89" i="4"/>
  <c r="AD89" i="4"/>
  <c r="AC89" i="4"/>
  <c r="AB89" i="4"/>
  <c r="AA89" i="4"/>
  <c r="Z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AI88" i="4"/>
  <c r="AH88" i="4"/>
  <c r="AG88" i="4"/>
  <c r="AF88" i="4"/>
  <c r="AE88" i="4"/>
  <c r="AD88" i="4"/>
  <c r="AC88" i="4"/>
  <c r="AB88" i="4"/>
  <c r="AA88" i="4"/>
  <c r="Z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AI87" i="4"/>
  <c r="AH87" i="4"/>
  <c r="AG87" i="4"/>
  <c r="AF87" i="4"/>
  <c r="AE87" i="4"/>
  <c r="AD87" i="4"/>
  <c r="AC87" i="4"/>
  <c r="AB87" i="4"/>
  <c r="AA87" i="4"/>
  <c r="Z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AI86" i="4"/>
  <c r="AH86" i="4"/>
  <c r="AG86" i="4"/>
  <c r="AF86" i="4"/>
  <c r="AE86" i="4"/>
  <c r="AD86" i="4"/>
  <c r="AC86" i="4"/>
  <c r="AB86" i="4"/>
  <c r="AA86" i="4"/>
  <c r="Z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AI85" i="4"/>
  <c r="AH85" i="4"/>
  <c r="AG85" i="4"/>
  <c r="AF85" i="4"/>
  <c r="AE85" i="4"/>
  <c r="AD85" i="4"/>
  <c r="AC85" i="4"/>
  <c r="AB85" i="4"/>
  <c r="AA85" i="4"/>
  <c r="Z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AI84" i="4"/>
  <c r="AH84" i="4"/>
  <c r="AG84" i="4"/>
  <c r="AF84" i="4"/>
  <c r="AE84" i="4"/>
  <c r="AD84" i="4"/>
  <c r="AC84" i="4"/>
  <c r="AB84" i="4"/>
  <c r="AA84" i="4"/>
  <c r="Z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AI83" i="4"/>
  <c r="AH83" i="4"/>
  <c r="AG83" i="4"/>
  <c r="AF83" i="4"/>
  <c r="AE83" i="4"/>
  <c r="AD83" i="4"/>
  <c r="AC83" i="4"/>
  <c r="AB83" i="4"/>
  <c r="AA83" i="4"/>
  <c r="Z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AI82" i="4"/>
  <c r="AH82" i="4"/>
  <c r="AG82" i="4"/>
  <c r="AF82" i="4"/>
  <c r="AE82" i="4"/>
  <c r="AD82" i="4"/>
  <c r="AC82" i="4"/>
  <c r="AB82" i="4"/>
  <c r="AA82" i="4"/>
  <c r="Z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AI81" i="4"/>
  <c r="AH81" i="4"/>
  <c r="AG81" i="4"/>
  <c r="AF81" i="4"/>
  <c r="AE81" i="4"/>
  <c r="AD81" i="4"/>
  <c r="AC81" i="4"/>
  <c r="AB81" i="4"/>
  <c r="AA81" i="4"/>
  <c r="Z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I80" i="4"/>
  <c r="AH80" i="4"/>
  <c r="AG80" i="4"/>
  <c r="AF80" i="4"/>
  <c r="AE80" i="4"/>
  <c r="AD80" i="4"/>
  <c r="AC80" i="4"/>
  <c r="AB80" i="4"/>
  <c r="AA80" i="4"/>
  <c r="Z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I79" i="4"/>
  <c r="AH79" i="4"/>
  <c r="AG79" i="4"/>
  <c r="AF79" i="4"/>
  <c r="AE79" i="4"/>
  <c r="AD79" i="4"/>
  <c r="AC79" i="4"/>
  <c r="AB79" i="4"/>
  <c r="AA79" i="4"/>
  <c r="Z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I78" i="4"/>
  <c r="AH78" i="4"/>
  <c r="AG78" i="4"/>
  <c r="AF78" i="4"/>
  <c r="AE78" i="4"/>
  <c r="AD78" i="4"/>
  <c r="AC78" i="4"/>
  <c r="AB78" i="4"/>
  <c r="AA78" i="4"/>
  <c r="Z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I77" i="4"/>
  <c r="AH77" i="4"/>
  <c r="AG77" i="4"/>
  <c r="AF77" i="4"/>
  <c r="AE77" i="4"/>
  <c r="AD77" i="4"/>
  <c r="AC77" i="4"/>
  <c r="AB77" i="4"/>
  <c r="AA77" i="4"/>
  <c r="Z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I76" i="4"/>
  <c r="AH76" i="4"/>
  <c r="AG76" i="4"/>
  <c r="AF76" i="4"/>
  <c r="AE76" i="4"/>
  <c r="AD76" i="4"/>
  <c r="AC76" i="4"/>
  <c r="AB76" i="4"/>
  <c r="AA76" i="4"/>
  <c r="Z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I75" i="4"/>
  <c r="AH75" i="4"/>
  <c r="AG75" i="4"/>
  <c r="AF75" i="4"/>
  <c r="AE75" i="4"/>
  <c r="AD75" i="4"/>
  <c r="AC75" i="4"/>
  <c r="AB75" i="4"/>
  <c r="AA75" i="4"/>
  <c r="Z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I74" i="4"/>
  <c r="AH74" i="4"/>
  <c r="AG74" i="4"/>
  <c r="AF74" i="4"/>
  <c r="AE74" i="4"/>
  <c r="AD74" i="4"/>
  <c r="AC74" i="4"/>
  <c r="AB74" i="4"/>
  <c r="AA74" i="4"/>
  <c r="Z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I73" i="4"/>
  <c r="AH73" i="4"/>
  <c r="AG73" i="4"/>
  <c r="AF73" i="4"/>
  <c r="AE73" i="4"/>
  <c r="AD73" i="4"/>
  <c r="AC73" i="4"/>
  <c r="AB73" i="4"/>
  <c r="AA73" i="4"/>
  <c r="Z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I72" i="4"/>
  <c r="AH72" i="4"/>
  <c r="AG72" i="4"/>
  <c r="AF72" i="4"/>
  <c r="AE72" i="4"/>
  <c r="AD72" i="4"/>
  <c r="AC72" i="4"/>
  <c r="AB72" i="4"/>
  <c r="AA72" i="4"/>
  <c r="Z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I71" i="4"/>
  <c r="AH71" i="4"/>
  <c r="AG71" i="4"/>
  <c r="AF71" i="4"/>
  <c r="AE71" i="4"/>
  <c r="AD71" i="4"/>
  <c r="AC71" i="4"/>
  <c r="AB71" i="4"/>
  <c r="AA71" i="4"/>
  <c r="Z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I70" i="4"/>
  <c r="AH70" i="4"/>
  <c r="AG70" i="4"/>
  <c r="AF70" i="4"/>
  <c r="AE70" i="4"/>
  <c r="AD70" i="4"/>
  <c r="AC70" i="4"/>
  <c r="AB70" i="4"/>
  <c r="AA70" i="4"/>
  <c r="Z70" i="4"/>
  <c r="U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I69" i="4"/>
  <c r="AH69" i="4"/>
  <c r="AG69" i="4"/>
  <c r="AF69" i="4"/>
  <c r="AE69" i="4"/>
  <c r="AD69" i="4"/>
  <c r="AC69" i="4"/>
  <c r="AB69" i="4"/>
  <c r="AA69" i="4"/>
  <c r="Z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I68" i="4"/>
  <c r="AH68" i="4"/>
  <c r="AG68" i="4"/>
  <c r="AF68" i="4"/>
  <c r="AE68" i="4"/>
  <c r="AD68" i="4"/>
  <c r="AC68" i="4"/>
  <c r="AB68" i="4"/>
  <c r="AA68" i="4"/>
  <c r="Z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I67" i="4"/>
  <c r="AH67" i="4"/>
  <c r="AG67" i="4"/>
  <c r="AF67" i="4"/>
  <c r="AE67" i="4"/>
  <c r="AD67" i="4"/>
  <c r="AC67" i="4"/>
  <c r="AB67" i="4"/>
  <c r="AA67" i="4"/>
  <c r="Z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I66" i="4"/>
  <c r="AH66" i="4"/>
  <c r="AG66" i="4"/>
  <c r="AF66" i="4"/>
  <c r="AE66" i="4"/>
  <c r="AD66" i="4"/>
  <c r="AC66" i="4"/>
  <c r="AB66" i="4"/>
  <c r="AA66" i="4"/>
  <c r="Z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I65" i="4"/>
  <c r="AH65" i="4"/>
  <c r="AG65" i="4"/>
  <c r="AF65" i="4"/>
  <c r="AE65" i="4"/>
  <c r="AD65" i="4"/>
  <c r="AC65" i="4"/>
  <c r="AB65" i="4"/>
  <c r="AA65" i="4"/>
  <c r="Z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I64" i="4"/>
  <c r="AH64" i="4"/>
  <c r="AG64" i="4"/>
  <c r="AF64" i="4"/>
  <c r="AE64" i="4"/>
  <c r="AD64" i="4"/>
  <c r="AC64" i="4"/>
  <c r="AB64" i="4"/>
  <c r="AA64" i="4"/>
  <c r="Z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I63" i="4"/>
  <c r="AH63" i="4"/>
  <c r="AG63" i="4"/>
  <c r="AF63" i="4"/>
  <c r="AE63" i="4"/>
  <c r="AD63" i="4"/>
  <c r="AC63" i="4"/>
  <c r="AB63" i="4"/>
  <c r="AA63" i="4"/>
  <c r="Z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I62" i="4"/>
  <c r="AH62" i="4"/>
  <c r="AG62" i="4"/>
  <c r="AF62" i="4"/>
  <c r="AE62" i="4"/>
  <c r="AD62" i="4"/>
  <c r="AC62" i="4"/>
  <c r="AB62" i="4"/>
  <c r="AA62" i="4"/>
  <c r="Z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I61" i="4"/>
  <c r="AH61" i="4"/>
  <c r="AG61" i="4"/>
  <c r="AF61" i="4"/>
  <c r="AE61" i="4"/>
  <c r="AD61" i="4"/>
  <c r="AC61" i="4"/>
  <c r="AB61" i="4"/>
  <c r="AA61" i="4"/>
  <c r="Z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E60" i="4"/>
  <c r="AD60" i="4"/>
  <c r="AC60" i="4"/>
  <c r="AB60" i="4"/>
  <c r="AA60" i="4"/>
  <c r="Z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E59" i="4"/>
  <c r="AD59" i="4"/>
  <c r="AC59" i="4"/>
  <c r="AB59" i="4"/>
  <c r="AA59" i="4"/>
  <c r="Z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E58" i="4"/>
  <c r="AD58" i="4"/>
  <c r="AC58" i="4"/>
  <c r="AB58" i="4"/>
  <c r="AA58" i="4"/>
  <c r="Z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I57" i="4"/>
  <c r="AH57" i="4"/>
  <c r="AG57" i="4"/>
  <c r="AF57" i="4"/>
  <c r="AE57" i="4"/>
  <c r="AD57" i="4"/>
  <c r="AC57" i="4"/>
  <c r="AB57" i="4"/>
  <c r="AA57" i="4"/>
  <c r="Z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I53" i="4"/>
  <c r="AH53" i="4"/>
  <c r="AG53" i="4"/>
  <c r="AF53" i="4"/>
  <c r="AE53" i="4"/>
  <c r="AD53" i="4"/>
  <c r="AC53" i="4"/>
  <c r="AB53" i="4"/>
  <c r="AA53" i="4"/>
  <c r="Z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I51" i="4"/>
  <c r="AH51" i="4"/>
  <c r="AG51" i="4"/>
  <c r="AF51" i="4"/>
  <c r="AE51" i="4"/>
  <c r="AD51" i="4"/>
  <c r="AC51" i="4"/>
  <c r="AB51" i="4"/>
  <c r="AA51" i="4"/>
  <c r="Z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I50" i="4"/>
  <c r="AH50" i="4"/>
  <c r="AG50" i="4"/>
  <c r="AF50" i="4"/>
  <c r="AE50" i="4"/>
  <c r="AD50" i="4"/>
  <c r="AC50" i="4"/>
  <c r="AB50" i="4"/>
  <c r="AA50" i="4"/>
  <c r="Z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I49" i="4"/>
  <c r="AH49" i="4"/>
  <c r="AG49" i="4"/>
  <c r="AF49" i="4"/>
  <c r="AE49" i="4"/>
  <c r="AD49" i="4"/>
  <c r="AC49" i="4"/>
  <c r="AB49" i="4"/>
  <c r="AA49" i="4"/>
  <c r="Z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I48" i="4"/>
  <c r="AH48" i="4"/>
  <c r="AG48" i="4"/>
  <c r="AF48" i="4"/>
  <c r="AE48" i="4"/>
  <c r="AD48" i="4"/>
  <c r="AC48" i="4"/>
  <c r="AB48" i="4"/>
  <c r="AA48" i="4"/>
  <c r="Z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I47" i="4"/>
  <c r="AH47" i="4"/>
  <c r="AG47" i="4"/>
  <c r="AF47" i="4"/>
  <c r="AE47" i="4"/>
  <c r="AD47" i="4"/>
  <c r="AC47" i="4"/>
  <c r="AB47" i="4"/>
  <c r="AA47" i="4"/>
  <c r="Z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I46" i="4"/>
  <c r="AH46" i="4"/>
  <c r="AG46" i="4"/>
  <c r="AF46" i="4"/>
  <c r="AE46" i="4"/>
  <c r="AD46" i="4"/>
  <c r="AC46" i="4"/>
  <c r="AB46" i="4"/>
  <c r="AA46" i="4"/>
  <c r="Z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I45" i="4"/>
  <c r="AH45" i="4"/>
  <c r="AG45" i="4"/>
  <c r="AF45" i="4"/>
  <c r="AE45" i="4"/>
  <c r="AD45" i="4"/>
  <c r="AC45" i="4"/>
  <c r="AB45" i="4"/>
  <c r="AA45" i="4"/>
  <c r="Z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I44" i="4"/>
  <c r="AH44" i="4"/>
  <c r="AG44" i="4"/>
  <c r="AF44" i="4"/>
  <c r="AE44" i="4"/>
  <c r="AD44" i="4"/>
  <c r="AC44" i="4"/>
  <c r="AB44" i="4"/>
  <c r="AA44" i="4"/>
  <c r="Z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I43" i="4"/>
  <c r="AH43" i="4"/>
  <c r="AG43" i="4"/>
  <c r="AF43" i="4"/>
  <c r="AE43" i="4"/>
  <c r="AD43" i="4"/>
  <c r="AC43" i="4"/>
  <c r="AB43" i="4"/>
  <c r="AA43" i="4"/>
  <c r="Z43" i="4"/>
  <c r="U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I42" i="4"/>
  <c r="AH42" i="4"/>
  <c r="AG42" i="4"/>
  <c r="AF42" i="4"/>
  <c r="AE42" i="4"/>
  <c r="AD42" i="4"/>
  <c r="AC42" i="4"/>
  <c r="AB42" i="4"/>
  <c r="AA42" i="4"/>
  <c r="Z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I41" i="4"/>
  <c r="AH41" i="4"/>
  <c r="AG41" i="4"/>
  <c r="AF41" i="4"/>
  <c r="AE41" i="4"/>
  <c r="AD41" i="4"/>
  <c r="AC41" i="4"/>
  <c r="AB41" i="4"/>
  <c r="AA41" i="4"/>
  <c r="Z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I40" i="4"/>
  <c r="AH40" i="4"/>
  <c r="AG40" i="4"/>
  <c r="AF40" i="4"/>
  <c r="AE40" i="4"/>
  <c r="AD40" i="4"/>
  <c r="AC40" i="4"/>
  <c r="AB40" i="4"/>
  <c r="AA40" i="4"/>
  <c r="Z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I39" i="4"/>
  <c r="AH39" i="4"/>
  <c r="AG39" i="4"/>
  <c r="AF39" i="4"/>
  <c r="AE39" i="4"/>
  <c r="AD39" i="4"/>
  <c r="AC39" i="4"/>
  <c r="AB39" i="4"/>
  <c r="AA39" i="4"/>
  <c r="Z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I38" i="4"/>
  <c r="AH38" i="4"/>
  <c r="AG38" i="4"/>
  <c r="AF38" i="4"/>
  <c r="AE38" i="4"/>
  <c r="AD38" i="4"/>
  <c r="AC38" i="4"/>
  <c r="AB38" i="4"/>
  <c r="AA38" i="4"/>
  <c r="Z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I37" i="4"/>
  <c r="AH37" i="4"/>
  <c r="AG37" i="4"/>
  <c r="AF37" i="4"/>
  <c r="AE37" i="4"/>
  <c r="AD37" i="4"/>
  <c r="AC37" i="4"/>
  <c r="AB37" i="4"/>
  <c r="AA37" i="4"/>
  <c r="Z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I36" i="4"/>
  <c r="AH36" i="4"/>
  <c r="AG36" i="4"/>
  <c r="AF36" i="4"/>
  <c r="AE36" i="4"/>
  <c r="AD36" i="4"/>
  <c r="AC36" i="4"/>
  <c r="AB36" i="4"/>
  <c r="AA36" i="4"/>
  <c r="Z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I35" i="4"/>
  <c r="AH35" i="4"/>
  <c r="AG35" i="4"/>
  <c r="AF35" i="4"/>
  <c r="AE35" i="4"/>
  <c r="AD35" i="4"/>
  <c r="AC35" i="4"/>
  <c r="AB35" i="4"/>
  <c r="AA35" i="4"/>
  <c r="Z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I34" i="4"/>
  <c r="AH34" i="4"/>
  <c r="AG34" i="4"/>
  <c r="AF34" i="4"/>
  <c r="AE34" i="4"/>
  <c r="AD34" i="4"/>
  <c r="AC34" i="4"/>
  <c r="AB34" i="4"/>
  <c r="AA34" i="4"/>
  <c r="Z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I33" i="4"/>
  <c r="AH33" i="4"/>
  <c r="AG33" i="4"/>
  <c r="AF33" i="4"/>
  <c r="AE33" i="4"/>
  <c r="AD33" i="4"/>
  <c r="AC33" i="4"/>
  <c r="AB33" i="4"/>
  <c r="AA33" i="4"/>
  <c r="Z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I32" i="4"/>
  <c r="AH32" i="4"/>
  <c r="AG32" i="4"/>
  <c r="AF32" i="4"/>
  <c r="AE32" i="4"/>
  <c r="AD32" i="4"/>
  <c r="AC32" i="4"/>
  <c r="AB32" i="4"/>
  <c r="AA32" i="4"/>
  <c r="Z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I31" i="4"/>
  <c r="AH31" i="4"/>
  <c r="AG31" i="4"/>
  <c r="AF31" i="4"/>
  <c r="AE31" i="4"/>
  <c r="AD31" i="4"/>
  <c r="AC31" i="4"/>
  <c r="AB31" i="4"/>
  <c r="AA31" i="4"/>
  <c r="Z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I30" i="4"/>
  <c r="AH30" i="4"/>
  <c r="AG30" i="4"/>
  <c r="AF30" i="4"/>
  <c r="AE30" i="4"/>
  <c r="AD30" i="4"/>
  <c r="AC30" i="4"/>
  <c r="AB30" i="4"/>
  <c r="AA30" i="4"/>
  <c r="Z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I29" i="4"/>
  <c r="AH29" i="4"/>
  <c r="AG29" i="4"/>
  <c r="AF29" i="4"/>
  <c r="AE29" i="4"/>
  <c r="AD29" i="4"/>
  <c r="AC29" i="4"/>
  <c r="AB29" i="4"/>
  <c r="AA29" i="4"/>
  <c r="Z29" i="4"/>
  <c r="U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I28" i="4"/>
  <c r="AH28" i="4"/>
  <c r="AG28" i="4"/>
  <c r="AF28" i="4"/>
  <c r="AE28" i="4"/>
  <c r="AD28" i="4"/>
  <c r="AC28" i="4"/>
  <c r="AB28" i="4"/>
  <c r="AA28" i="4"/>
  <c r="Z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I27" i="4"/>
  <c r="AH27" i="4"/>
  <c r="AG27" i="4"/>
  <c r="AF27" i="4"/>
  <c r="AE27" i="4"/>
  <c r="AD27" i="4"/>
  <c r="AC27" i="4"/>
  <c r="AB27" i="4"/>
  <c r="AA27" i="4"/>
  <c r="Z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I26" i="4"/>
  <c r="AH26" i="4"/>
  <c r="AG26" i="4"/>
  <c r="AF26" i="4"/>
  <c r="AE26" i="4"/>
  <c r="AD26" i="4"/>
  <c r="AC26" i="4"/>
  <c r="AB26" i="4"/>
  <c r="AA26" i="4"/>
  <c r="Z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I25" i="4"/>
  <c r="AH25" i="4"/>
  <c r="AG25" i="4"/>
  <c r="AF25" i="4"/>
  <c r="AE25" i="4"/>
  <c r="AD25" i="4"/>
  <c r="AC25" i="4"/>
  <c r="AB25" i="4"/>
  <c r="AA25" i="4"/>
  <c r="Z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I24" i="4"/>
  <c r="AH24" i="4"/>
  <c r="AG24" i="4"/>
  <c r="AF24" i="4"/>
  <c r="AE24" i="4"/>
  <c r="AD24" i="4"/>
  <c r="AC24" i="4"/>
  <c r="AB24" i="4"/>
  <c r="AA24" i="4"/>
  <c r="Z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I23" i="4"/>
  <c r="AH23" i="4"/>
  <c r="AG23" i="4"/>
  <c r="AF23" i="4"/>
  <c r="AE23" i="4"/>
  <c r="AD23" i="4"/>
  <c r="AC23" i="4"/>
  <c r="AB23" i="4"/>
  <c r="AA23" i="4"/>
  <c r="Z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I22" i="4"/>
  <c r="AH22" i="4"/>
  <c r="AG22" i="4"/>
  <c r="AF22" i="4"/>
  <c r="AE22" i="4"/>
  <c r="AD22" i="4"/>
  <c r="AC22" i="4"/>
  <c r="AB22" i="4"/>
  <c r="AA22" i="4"/>
  <c r="Z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I21" i="4"/>
  <c r="AH21" i="4"/>
  <c r="AG21" i="4"/>
  <c r="AF21" i="4"/>
  <c r="AE21" i="4"/>
  <c r="AD21" i="4"/>
  <c r="AC21" i="4"/>
  <c r="AB21" i="4"/>
  <c r="AA21" i="4"/>
  <c r="Z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I20" i="4"/>
  <c r="AH20" i="4"/>
  <c r="AG20" i="4"/>
  <c r="AF20" i="4"/>
  <c r="AE20" i="4"/>
  <c r="AD20" i="4"/>
  <c r="AC20" i="4"/>
  <c r="AB20" i="4"/>
  <c r="AA20" i="4"/>
  <c r="Z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I19" i="4"/>
  <c r="AH19" i="4"/>
  <c r="AG19" i="4"/>
  <c r="AF19" i="4"/>
  <c r="AE19" i="4"/>
  <c r="AD19" i="4"/>
  <c r="AC19" i="4"/>
  <c r="AB19" i="4"/>
  <c r="AA19" i="4"/>
  <c r="Z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I18" i="4"/>
  <c r="AH18" i="4"/>
  <c r="AG18" i="4"/>
  <c r="AF18" i="4"/>
  <c r="AE18" i="4"/>
  <c r="AD18" i="4"/>
  <c r="AC18" i="4"/>
  <c r="AB18" i="4"/>
  <c r="AA18" i="4"/>
  <c r="Z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I17" i="4"/>
  <c r="AH17" i="4"/>
  <c r="AG17" i="4"/>
  <c r="AF17" i="4"/>
  <c r="AE17" i="4"/>
  <c r="AD17" i="4"/>
  <c r="AC17" i="4"/>
  <c r="AB17" i="4"/>
  <c r="AA17" i="4"/>
  <c r="Z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I16" i="4"/>
  <c r="AH16" i="4"/>
  <c r="AG16" i="4"/>
  <c r="AF16" i="4"/>
  <c r="AE16" i="4"/>
  <c r="AD16" i="4"/>
  <c r="AC16" i="4"/>
  <c r="AB16" i="4"/>
  <c r="AA16" i="4"/>
  <c r="Z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I15" i="4"/>
  <c r="AH15" i="4"/>
  <c r="AG15" i="4"/>
  <c r="AF15" i="4"/>
  <c r="AE15" i="4"/>
  <c r="AD15" i="4"/>
  <c r="AC15" i="4"/>
  <c r="AB15" i="4"/>
  <c r="AA15" i="4"/>
  <c r="Z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I14" i="4"/>
  <c r="AH14" i="4"/>
  <c r="AG14" i="4"/>
  <c r="AF14" i="4"/>
  <c r="AE14" i="4"/>
  <c r="AD14" i="4"/>
  <c r="AC14" i="4"/>
  <c r="AB14" i="4"/>
  <c r="AA14" i="4"/>
  <c r="Z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I13" i="4"/>
  <c r="AH13" i="4"/>
  <c r="AG13" i="4"/>
  <c r="AF13" i="4"/>
  <c r="AE13" i="4"/>
  <c r="AD13" i="4"/>
  <c r="AC13" i="4"/>
  <c r="AB13" i="4"/>
  <c r="AA13" i="4"/>
  <c r="Z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I12" i="4"/>
  <c r="AH12" i="4"/>
  <c r="AG12" i="4"/>
  <c r="AF12" i="4"/>
  <c r="AE12" i="4"/>
  <c r="AD12" i="4"/>
  <c r="AC12" i="4"/>
  <c r="AB12" i="4"/>
  <c r="AA12" i="4"/>
  <c r="Z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I11" i="4"/>
  <c r="AH11" i="4"/>
  <c r="AG11" i="4"/>
  <c r="AF11" i="4"/>
  <c r="AE11" i="4"/>
  <c r="AD11" i="4"/>
  <c r="AC11" i="4"/>
  <c r="AB11" i="4"/>
  <c r="AA11" i="4"/>
  <c r="Z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I10" i="4"/>
  <c r="AH10" i="4"/>
  <c r="AG10" i="4"/>
  <c r="AF10" i="4"/>
  <c r="AE10" i="4"/>
  <c r="AD10" i="4"/>
  <c r="AC10" i="4"/>
  <c r="AB10" i="4"/>
  <c r="AA10" i="4"/>
  <c r="Z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I9" i="4"/>
  <c r="AH9" i="4"/>
  <c r="AG9" i="4"/>
  <c r="AF9" i="4"/>
  <c r="AE9" i="4"/>
  <c r="AD9" i="4"/>
  <c r="AC9" i="4"/>
  <c r="AB9" i="4"/>
  <c r="AA9" i="4"/>
  <c r="Z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I8" i="4"/>
  <c r="AH8" i="4"/>
  <c r="AG8" i="4"/>
  <c r="AF8" i="4"/>
  <c r="AE8" i="4"/>
  <c r="AD8" i="4"/>
  <c r="AC8" i="4"/>
  <c r="AB8" i="4"/>
  <c r="AA8" i="4"/>
  <c r="Z8" i="4"/>
  <c r="U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I7" i="4"/>
  <c r="AH7" i="4"/>
  <c r="AG7" i="4"/>
  <c r="AF7" i="4"/>
  <c r="AE7" i="4"/>
  <c r="AD7" i="4"/>
  <c r="AC7" i="4"/>
  <c r="AB7" i="4"/>
  <c r="AA7" i="4"/>
  <c r="Z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I6" i="4"/>
  <c r="AH6" i="4"/>
  <c r="AG6" i="4"/>
  <c r="AF6" i="4"/>
  <c r="AE6" i="4"/>
  <c r="AD6" i="4"/>
  <c r="AC6" i="4"/>
  <c r="AB6" i="4"/>
  <c r="AA6" i="4"/>
  <c r="Z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I5" i="4"/>
  <c r="AH5" i="4"/>
  <c r="AG5" i="4"/>
  <c r="AF5" i="4"/>
  <c r="AE5" i="4"/>
  <c r="AD5" i="4"/>
  <c r="AC5" i="4"/>
  <c r="AB5" i="4"/>
  <c r="AA5" i="4"/>
  <c r="Z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I4" i="4"/>
  <c r="AH4" i="4"/>
  <c r="AG4" i="4"/>
  <c r="AF4" i="4"/>
  <c r="AE4" i="4"/>
  <c r="AD4" i="4"/>
  <c r="AC4" i="4"/>
  <c r="AB4" i="4"/>
  <c r="AA4" i="4"/>
  <c r="Z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I443" i="2"/>
  <c r="AH443" i="2"/>
  <c r="AG443" i="2"/>
  <c r="AF443" i="2"/>
  <c r="AE443" i="2"/>
  <c r="AD443" i="2"/>
  <c r="AC443" i="2"/>
  <c r="AB443" i="2"/>
  <c r="AA443" i="2"/>
  <c r="Z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AI442" i="2"/>
  <c r="AH442" i="2"/>
  <c r="AG442" i="2"/>
  <c r="AF442" i="2"/>
  <c r="AE442" i="2"/>
  <c r="AD442" i="2"/>
  <c r="AC442" i="2"/>
  <c r="AB442" i="2"/>
  <c r="AA442" i="2"/>
  <c r="Z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AI441" i="2"/>
  <c r="AH441" i="2"/>
  <c r="AG441" i="2"/>
  <c r="AF441" i="2"/>
  <c r="AE441" i="2"/>
  <c r="AD441" i="2"/>
  <c r="AC441" i="2"/>
  <c r="AB441" i="2"/>
  <c r="AA441" i="2"/>
  <c r="Z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AI440" i="2"/>
  <c r="AH440" i="2"/>
  <c r="AG440" i="2"/>
  <c r="AF440" i="2"/>
  <c r="AE440" i="2"/>
  <c r="AD440" i="2"/>
  <c r="AC440" i="2"/>
  <c r="AB440" i="2"/>
  <c r="AA440" i="2"/>
  <c r="Z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AI439" i="2"/>
  <c r="AH439" i="2"/>
  <c r="AG439" i="2"/>
  <c r="AF439" i="2"/>
  <c r="AE439" i="2"/>
  <c r="AD439" i="2"/>
  <c r="AC439" i="2"/>
  <c r="AB439" i="2"/>
  <c r="AA439" i="2"/>
  <c r="Z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AI438" i="2"/>
  <c r="AH438" i="2"/>
  <c r="AG438" i="2"/>
  <c r="AF438" i="2"/>
  <c r="AE438" i="2"/>
  <c r="AD438" i="2"/>
  <c r="AC438" i="2"/>
  <c r="AB438" i="2"/>
  <c r="AA438" i="2"/>
  <c r="Z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AI437" i="2"/>
  <c r="AH437" i="2"/>
  <c r="AG437" i="2"/>
  <c r="AF437" i="2"/>
  <c r="AE437" i="2"/>
  <c r="AD437" i="2"/>
  <c r="AC437" i="2"/>
  <c r="AB437" i="2"/>
  <c r="AA437" i="2"/>
  <c r="Z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AI436" i="2"/>
  <c r="AH436" i="2"/>
  <c r="AG436" i="2"/>
  <c r="AF436" i="2"/>
  <c r="AE436" i="2"/>
  <c r="AD436" i="2"/>
  <c r="AC436" i="2"/>
  <c r="AB436" i="2"/>
  <c r="AA436" i="2"/>
  <c r="Z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AI435" i="2"/>
  <c r="AH435" i="2"/>
  <c r="AG435" i="2"/>
  <c r="AF435" i="2"/>
  <c r="AE435" i="2"/>
  <c r="AD435" i="2"/>
  <c r="AC435" i="2"/>
  <c r="AB435" i="2"/>
  <c r="AA435" i="2"/>
  <c r="Z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AI434" i="2"/>
  <c r="AH434" i="2"/>
  <c r="AG434" i="2"/>
  <c r="AF434" i="2"/>
  <c r="AE434" i="2"/>
  <c r="AD434" i="2"/>
  <c r="AC434" i="2"/>
  <c r="AB434" i="2"/>
  <c r="AA434" i="2"/>
  <c r="Z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AI433" i="2"/>
  <c r="AH433" i="2"/>
  <c r="AG433" i="2"/>
  <c r="AF433" i="2"/>
  <c r="AE433" i="2"/>
  <c r="AD433" i="2"/>
  <c r="AC433" i="2"/>
  <c r="AB433" i="2"/>
  <c r="AA433" i="2"/>
  <c r="Z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AI432" i="2"/>
  <c r="AH432" i="2"/>
  <c r="AG432" i="2"/>
  <c r="AF432" i="2"/>
  <c r="AE432" i="2"/>
  <c r="AD432" i="2"/>
  <c r="AC432" i="2"/>
  <c r="AB432" i="2"/>
  <c r="AA432" i="2"/>
  <c r="Z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AI431" i="2"/>
  <c r="AH431" i="2"/>
  <c r="AG431" i="2"/>
  <c r="AF431" i="2"/>
  <c r="AE431" i="2"/>
  <c r="AD431" i="2"/>
  <c r="AC431" i="2"/>
  <c r="AB431" i="2"/>
  <c r="AA431" i="2"/>
  <c r="Z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AI430" i="2"/>
  <c r="AH430" i="2"/>
  <c r="AG430" i="2"/>
  <c r="AF430" i="2"/>
  <c r="AE430" i="2"/>
  <c r="AD430" i="2"/>
  <c r="AC430" i="2"/>
  <c r="AB430" i="2"/>
  <c r="AA430" i="2"/>
  <c r="Z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AI429" i="2"/>
  <c r="AH429" i="2"/>
  <c r="AG429" i="2"/>
  <c r="AF429" i="2"/>
  <c r="AE429" i="2"/>
  <c r="AD429" i="2"/>
  <c r="AC429" i="2"/>
  <c r="AB429" i="2"/>
  <c r="AA429" i="2"/>
  <c r="Z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AI428" i="2"/>
  <c r="AH428" i="2"/>
  <c r="AG428" i="2"/>
  <c r="AF428" i="2"/>
  <c r="AE428" i="2"/>
  <c r="AD428" i="2"/>
  <c r="AC428" i="2"/>
  <c r="AB428" i="2"/>
  <c r="AA428" i="2"/>
  <c r="Z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AI427" i="2"/>
  <c r="AH427" i="2"/>
  <c r="AG427" i="2"/>
  <c r="AF427" i="2"/>
  <c r="AE427" i="2"/>
  <c r="AD427" i="2"/>
  <c r="AC427" i="2"/>
  <c r="AB427" i="2"/>
  <c r="AA427" i="2"/>
  <c r="Z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AI426" i="2"/>
  <c r="AH426" i="2"/>
  <c r="AG426" i="2"/>
  <c r="AF426" i="2"/>
  <c r="AE426" i="2"/>
  <c r="AD426" i="2"/>
  <c r="AC426" i="2"/>
  <c r="AB426" i="2"/>
  <c r="AA426" i="2"/>
  <c r="Z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AI425" i="2"/>
  <c r="AH425" i="2"/>
  <c r="AG425" i="2"/>
  <c r="AF425" i="2"/>
  <c r="AE425" i="2"/>
  <c r="AD425" i="2"/>
  <c r="AC425" i="2"/>
  <c r="AB425" i="2"/>
  <c r="AA425" i="2"/>
  <c r="Z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AI424" i="2"/>
  <c r="AH424" i="2"/>
  <c r="AG424" i="2"/>
  <c r="AF424" i="2"/>
  <c r="AE424" i="2"/>
  <c r="AD424" i="2"/>
  <c r="AC424" i="2"/>
  <c r="AB424" i="2"/>
  <c r="AA424" i="2"/>
  <c r="Z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AI423" i="2"/>
  <c r="AH423" i="2"/>
  <c r="AG423" i="2"/>
  <c r="AF423" i="2"/>
  <c r="AE423" i="2"/>
  <c r="AD423" i="2"/>
  <c r="AC423" i="2"/>
  <c r="AB423" i="2"/>
  <c r="AA423" i="2"/>
  <c r="Z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AI422" i="2"/>
  <c r="AH422" i="2"/>
  <c r="AG422" i="2"/>
  <c r="AF422" i="2"/>
  <c r="AE422" i="2"/>
  <c r="AD422" i="2"/>
  <c r="AC422" i="2"/>
  <c r="AB422" i="2"/>
  <c r="AA422" i="2"/>
  <c r="Z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AI421" i="2"/>
  <c r="AH421" i="2"/>
  <c r="AG421" i="2"/>
  <c r="AF421" i="2"/>
  <c r="AE421" i="2"/>
  <c r="AD421" i="2"/>
  <c r="AC421" i="2"/>
  <c r="AB421" i="2"/>
  <c r="AA421" i="2"/>
  <c r="Z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AI420" i="2"/>
  <c r="AH420" i="2"/>
  <c r="AG420" i="2"/>
  <c r="AF420" i="2"/>
  <c r="AE420" i="2"/>
  <c r="AD420" i="2"/>
  <c r="AC420" i="2"/>
  <c r="AB420" i="2"/>
  <c r="AA420" i="2"/>
  <c r="Z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AI419" i="2"/>
  <c r="AH419" i="2"/>
  <c r="AG419" i="2"/>
  <c r="AF419" i="2"/>
  <c r="AE419" i="2"/>
  <c r="AD419" i="2"/>
  <c r="AC419" i="2"/>
  <c r="AB419" i="2"/>
  <c r="AA419" i="2"/>
  <c r="Z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AI418" i="2"/>
  <c r="AH418" i="2"/>
  <c r="AG418" i="2"/>
  <c r="AF418" i="2"/>
  <c r="AE418" i="2"/>
  <c r="AD418" i="2"/>
  <c r="AC418" i="2"/>
  <c r="AB418" i="2"/>
  <c r="AA418" i="2"/>
  <c r="Z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AI417" i="2"/>
  <c r="AH417" i="2"/>
  <c r="AG417" i="2"/>
  <c r="AF417" i="2"/>
  <c r="AE417" i="2"/>
  <c r="AD417" i="2"/>
  <c r="AC417" i="2"/>
  <c r="AB417" i="2"/>
  <c r="AA417" i="2"/>
  <c r="Z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AI416" i="2"/>
  <c r="AH416" i="2"/>
  <c r="AG416" i="2"/>
  <c r="AF416" i="2"/>
  <c r="AE416" i="2"/>
  <c r="AD416" i="2"/>
  <c r="AC416" i="2"/>
  <c r="AB416" i="2"/>
  <c r="AA416" i="2"/>
  <c r="Z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AI415" i="2"/>
  <c r="AH415" i="2"/>
  <c r="AG415" i="2"/>
  <c r="AF415" i="2"/>
  <c r="AE415" i="2"/>
  <c r="AD415" i="2"/>
  <c r="AC415" i="2"/>
  <c r="AB415" i="2"/>
  <c r="AA415" i="2"/>
  <c r="Z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AI414" i="2"/>
  <c r="AH414" i="2"/>
  <c r="AG414" i="2"/>
  <c r="AF414" i="2"/>
  <c r="AE414" i="2"/>
  <c r="AD414" i="2"/>
  <c r="AC414" i="2"/>
  <c r="AB414" i="2"/>
  <c r="AA414" i="2"/>
  <c r="Z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AI413" i="2"/>
  <c r="AH413" i="2"/>
  <c r="AG413" i="2"/>
  <c r="AF413" i="2"/>
  <c r="AE413" i="2"/>
  <c r="AD413" i="2"/>
  <c r="AC413" i="2"/>
  <c r="AB413" i="2"/>
  <c r="AA413" i="2"/>
  <c r="Z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AI412" i="2"/>
  <c r="AH412" i="2"/>
  <c r="AG412" i="2"/>
  <c r="AF412" i="2"/>
  <c r="AE412" i="2"/>
  <c r="AD412" i="2"/>
  <c r="AC412" i="2"/>
  <c r="AB412" i="2"/>
  <c r="AA412" i="2"/>
  <c r="Z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AI411" i="2"/>
  <c r="AH411" i="2"/>
  <c r="AG411" i="2"/>
  <c r="AF411" i="2"/>
  <c r="AE411" i="2"/>
  <c r="AD411" i="2"/>
  <c r="AC411" i="2"/>
  <c r="AB411" i="2"/>
  <c r="AA411" i="2"/>
  <c r="Z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AI410" i="2"/>
  <c r="AH410" i="2"/>
  <c r="AG410" i="2"/>
  <c r="AF410" i="2"/>
  <c r="AE410" i="2"/>
  <c r="AD410" i="2"/>
  <c r="AC410" i="2"/>
  <c r="AB410" i="2"/>
  <c r="AA410" i="2"/>
  <c r="Z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AI409" i="2"/>
  <c r="AH409" i="2"/>
  <c r="AG409" i="2"/>
  <c r="AF409" i="2"/>
  <c r="AE409" i="2"/>
  <c r="AD409" i="2"/>
  <c r="AC409" i="2"/>
  <c r="AB409" i="2"/>
  <c r="AA409" i="2"/>
  <c r="Z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AI408" i="2"/>
  <c r="AH408" i="2"/>
  <c r="AG408" i="2"/>
  <c r="AF408" i="2"/>
  <c r="AE408" i="2"/>
  <c r="AD408" i="2"/>
  <c r="AC408" i="2"/>
  <c r="AB408" i="2"/>
  <c r="AA408" i="2"/>
  <c r="Z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AI407" i="2"/>
  <c r="AH407" i="2"/>
  <c r="AG407" i="2"/>
  <c r="AF407" i="2"/>
  <c r="AE407" i="2"/>
  <c r="AD407" i="2"/>
  <c r="AC407" i="2"/>
  <c r="AB407" i="2"/>
  <c r="AA407" i="2"/>
  <c r="Z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AI406" i="2"/>
  <c r="AH406" i="2"/>
  <c r="AG406" i="2"/>
  <c r="AF406" i="2"/>
  <c r="AE406" i="2"/>
  <c r="AD406" i="2"/>
  <c r="AC406" i="2"/>
  <c r="AB406" i="2"/>
  <c r="AA406" i="2"/>
  <c r="Z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AI405" i="2"/>
  <c r="AH405" i="2"/>
  <c r="AG405" i="2"/>
  <c r="AF405" i="2"/>
  <c r="AE405" i="2"/>
  <c r="AD405" i="2"/>
  <c r="AC405" i="2"/>
  <c r="AB405" i="2"/>
  <c r="AA405" i="2"/>
  <c r="Z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AI404" i="2"/>
  <c r="AH404" i="2"/>
  <c r="AG404" i="2"/>
  <c r="AF404" i="2"/>
  <c r="AE404" i="2"/>
  <c r="AD404" i="2"/>
  <c r="AC404" i="2"/>
  <c r="AB404" i="2"/>
  <c r="AA404" i="2"/>
  <c r="Z404" i="2"/>
  <c r="U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AI403" i="2"/>
  <c r="AH403" i="2"/>
  <c r="AG403" i="2"/>
  <c r="AF403" i="2"/>
  <c r="AE403" i="2"/>
  <c r="AD403" i="2"/>
  <c r="AC403" i="2"/>
  <c r="AB403" i="2"/>
  <c r="AA403" i="2"/>
  <c r="Z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AI402" i="2"/>
  <c r="AH402" i="2"/>
  <c r="AG402" i="2"/>
  <c r="AF402" i="2"/>
  <c r="AE402" i="2"/>
  <c r="AD402" i="2"/>
  <c r="AC402" i="2"/>
  <c r="AB402" i="2"/>
  <c r="AA402" i="2"/>
  <c r="Z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AI401" i="2"/>
  <c r="AH401" i="2"/>
  <c r="AG401" i="2"/>
  <c r="AF401" i="2"/>
  <c r="AE401" i="2"/>
  <c r="AD401" i="2"/>
  <c r="AC401" i="2"/>
  <c r="AB401" i="2"/>
  <c r="AA401" i="2"/>
  <c r="Z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AI400" i="2"/>
  <c r="AH400" i="2"/>
  <c r="AG400" i="2"/>
  <c r="AF400" i="2"/>
  <c r="AE400" i="2"/>
  <c r="AD400" i="2"/>
  <c r="AC400" i="2"/>
  <c r="AB400" i="2"/>
  <c r="AA400" i="2"/>
  <c r="Z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AI399" i="2"/>
  <c r="AH399" i="2"/>
  <c r="AG399" i="2"/>
  <c r="AF399" i="2"/>
  <c r="AE399" i="2"/>
  <c r="AD399" i="2"/>
  <c r="AC399" i="2"/>
  <c r="AB399" i="2"/>
  <c r="AA399" i="2"/>
  <c r="Z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AI398" i="2"/>
  <c r="AH398" i="2"/>
  <c r="AG398" i="2"/>
  <c r="AF398" i="2"/>
  <c r="AE398" i="2"/>
  <c r="AD398" i="2"/>
  <c r="AC398" i="2"/>
  <c r="AB398" i="2"/>
  <c r="AA398" i="2"/>
  <c r="Z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AI397" i="2"/>
  <c r="AH397" i="2"/>
  <c r="AG397" i="2"/>
  <c r="AF397" i="2"/>
  <c r="AE397" i="2"/>
  <c r="AD397" i="2"/>
  <c r="AC397" i="2"/>
  <c r="AB397" i="2"/>
  <c r="AA397" i="2"/>
  <c r="Z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AI396" i="2"/>
  <c r="AH396" i="2"/>
  <c r="AG396" i="2"/>
  <c r="AF396" i="2"/>
  <c r="AE396" i="2"/>
  <c r="AD396" i="2"/>
  <c r="AC396" i="2"/>
  <c r="AB396" i="2"/>
  <c r="AA396" i="2"/>
  <c r="Z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AI395" i="2"/>
  <c r="AH395" i="2"/>
  <c r="AG395" i="2"/>
  <c r="AF395" i="2"/>
  <c r="AE395" i="2"/>
  <c r="AD395" i="2"/>
  <c r="AC395" i="2"/>
  <c r="AB395" i="2"/>
  <c r="AA395" i="2"/>
  <c r="Z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AI394" i="2"/>
  <c r="AH394" i="2"/>
  <c r="AG394" i="2"/>
  <c r="AF394" i="2"/>
  <c r="AE394" i="2"/>
  <c r="AD394" i="2"/>
  <c r="AC394" i="2"/>
  <c r="AB394" i="2"/>
  <c r="AA394" i="2"/>
  <c r="Z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AI393" i="2"/>
  <c r="AH393" i="2"/>
  <c r="AG393" i="2"/>
  <c r="AF393" i="2"/>
  <c r="AE393" i="2"/>
  <c r="AD393" i="2"/>
  <c r="AC393" i="2"/>
  <c r="AB393" i="2"/>
  <c r="AA393" i="2"/>
  <c r="Z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AI392" i="2"/>
  <c r="AH392" i="2"/>
  <c r="AG392" i="2"/>
  <c r="AF392" i="2"/>
  <c r="AE392" i="2"/>
  <c r="AD392" i="2"/>
  <c r="AC392" i="2"/>
  <c r="AB392" i="2"/>
  <c r="AA392" i="2"/>
  <c r="Z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AI391" i="2"/>
  <c r="AH391" i="2"/>
  <c r="AG391" i="2"/>
  <c r="AF391" i="2"/>
  <c r="AE391" i="2"/>
  <c r="AD391" i="2"/>
  <c r="AC391" i="2"/>
  <c r="AB391" i="2"/>
  <c r="AA391" i="2"/>
  <c r="Z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AI390" i="2"/>
  <c r="AH390" i="2"/>
  <c r="AG390" i="2"/>
  <c r="AF390" i="2"/>
  <c r="AE390" i="2"/>
  <c r="AD390" i="2"/>
  <c r="AC390" i="2"/>
  <c r="AB390" i="2"/>
  <c r="AA390" i="2"/>
  <c r="Z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AI389" i="2"/>
  <c r="AH389" i="2"/>
  <c r="AG389" i="2"/>
  <c r="AF389" i="2"/>
  <c r="AE389" i="2"/>
  <c r="AD389" i="2"/>
  <c r="AC389" i="2"/>
  <c r="AB389" i="2"/>
  <c r="AA389" i="2"/>
  <c r="Z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AI388" i="2"/>
  <c r="AH388" i="2"/>
  <c r="AG388" i="2"/>
  <c r="AF388" i="2"/>
  <c r="AE388" i="2"/>
  <c r="AD388" i="2"/>
  <c r="AC388" i="2"/>
  <c r="AB388" i="2"/>
  <c r="AA388" i="2"/>
  <c r="Z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AI387" i="2"/>
  <c r="AH387" i="2"/>
  <c r="AG387" i="2"/>
  <c r="AF387" i="2"/>
  <c r="AE387" i="2"/>
  <c r="AD387" i="2"/>
  <c r="AC387" i="2"/>
  <c r="AB387" i="2"/>
  <c r="AA387" i="2"/>
  <c r="Z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AI386" i="2"/>
  <c r="AH386" i="2"/>
  <c r="AG386" i="2"/>
  <c r="AF386" i="2"/>
  <c r="AE386" i="2"/>
  <c r="AD386" i="2"/>
  <c r="AC386" i="2"/>
  <c r="AB386" i="2"/>
  <c r="AA386" i="2"/>
  <c r="Z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AI385" i="2"/>
  <c r="AH385" i="2"/>
  <c r="AG385" i="2"/>
  <c r="AF385" i="2"/>
  <c r="AE385" i="2"/>
  <c r="AD385" i="2"/>
  <c r="AC385" i="2"/>
  <c r="AB385" i="2"/>
  <c r="AA385" i="2"/>
  <c r="Z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AI384" i="2"/>
  <c r="AH384" i="2"/>
  <c r="AG384" i="2"/>
  <c r="AF384" i="2"/>
  <c r="AE384" i="2"/>
  <c r="AD384" i="2"/>
  <c r="AC384" i="2"/>
  <c r="AB384" i="2"/>
  <c r="AA384" i="2"/>
  <c r="Z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AI383" i="2"/>
  <c r="AH383" i="2"/>
  <c r="AG383" i="2"/>
  <c r="AF383" i="2"/>
  <c r="AE383" i="2"/>
  <c r="AD383" i="2"/>
  <c r="AC383" i="2"/>
  <c r="AB383" i="2"/>
  <c r="AA383" i="2"/>
  <c r="Z383" i="2"/>
  <c r="U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AI382" i="2"/>
  <c r="AH382" i="2"/>
  <c r="AG382" i="2"/>
  <c r="AF382" i="2"/>
  <c r="AE382" i="2"/>
  <c r="AD382" i="2"/>
  <c r="AC382" i="2"/>
  <c r="AB382" i="2"/>
  <c r="AA382" i="2"/>
  <c r="Z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AI381" i="2"/>
  <c r="AH381" i="2"/>
  <c r="AG381" i="2"/>
  <c r="AF381" i="2"/>
  <c r="AE381" i="2"/>
  <c r="AD381" i="2"/>
  <c r="AC381" i="2"/>
  <c r="AB381" i="2"/>
  <c r="AA381" i="2"/>
  <c r="Z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AI380" i="2"/>
  <c r="AH380" i="2"/>
  <c r="AG380" i="2"/>
  <c r="AF380" i="2"/>
  <c r="AE380" i="2"/>
  <c r="AD380" i="2"/>
  <c r="AC380" i="2"/>
  <c r="AB380" i="2"/>
  <c r="AA380" i="2"/>
  <c r="Z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AI379" i="2"/>
  <c r="AH379" i="2"/>
  <c r="AG379" i="2"/>
  <c r="AF379" i="2"/>
  <c r="AE379" i="2"/>
  <c r="AD379" i="2"/>
  <c r="AC379" i="2"/>
  <c r="AB379" i="2"/>
  <c r="AA379" i="2"/>
  <c r="Z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AI378" i="2"/>
  <c r="AH378" i="2"/>
  <c r="AG378" i="2"/>
  <c r="AF378" i="2"/>
  <c r="AE378" i="2"/>
  <c r="AD378" i="2"/>
  <c r="AC378" i="2"/>
  <c r="AB378" i="2"/>
  <c r="AA378" i="2"/>
  <c r="Z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AI377" i="2"/>
  <c r="AH377" i="2"/>
  <c r="AG377" i="2"/>
  <c r="AF377" i="2"/>
  <c r="AE377" i="2"/>
  <c r="AD377" i="2"/>
  <c r="AC377" i="2"/>
  <c r="AB377" i="2"/>
  <c r="AA377" i="2"/>
  <c r="Z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AI376" i="2"/>
  <c r="AH376" i="2"/>
  <c r="AG376" i="2"/>
  <c r="AF376" i="2"/>
  <c r="AE376" i="2"/>
  <c r="AD376" i="2"/>
  <c r="AC376" i="2"/>
  <c r="AB376" i="2"/>
  <c r="AA376" i="2"/>
  <c r="Z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AI375" i="2"/>
  <c r="AH375" i="2"/>
  <c r="AG375" i="2"/>
  <c r="AF375" i="2"/>
  <c r="AE375" i="2"/>
  <c r="AD375" i="2"/>
  <c r="AC375" i="2"/>
  <c r="AB375" i="2"/>
  <c r="AA375" i="2"/>
  <c r="Z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AI374" i="2"/>
  <c r="AH374" i="2"/>
  <c r="AG374" i="2"/>
  <c r="AF374" i="2"/>
  <c r="AE374" i="2"/>
  <c r="AD374" i="2"/>
  <c r="AC374" i="2"/>
  <c r="AB374" i="2"/>
  <c r="AA374" i="2"/>
  <c r="Z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AI373" i="2"/>
  <c r="AH373" i="2"/>
  <c r="AG373" i="2"/>
  <c r="AF373" i="2"/>
  <c r="AE373" i="2"/>
  <c r="AD373" i="2"/>
  <c r="AC373" i="2"/>
  <c r="AB373" i="2"/>
  <c r="AA373" i="2"/>
  <c r="Z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AI372" i="2"/>
  <c r="AH372" i="2"/>
  <c r="AG372" i="2"/>
  <c r="AF372" i="2"/>
  <c r="AE372" i="2"/>
  <c r="AD372" i="2"/>
  <c r="AC372" i="2"/>
  <c r="AB372" i="2"/>
  <c r="AA372" i="2"/>
  <c r="Z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AI371" i="2"/>
  <c r="AH371" i="2"/>
  <c r="AG371" i="2"/>
  <c r="AF371" i="2"/>
  <c r="AE371" i="2"/>
  <c r="AD371" i="2"/>
  <c r="AC371" i="2"/>
  <c r="AB371" i="2"/>
  <c r="AA371" i="2"/>
  <c r="Z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AI370" i="2"/>
  <c r="AH370" i="2"/>
  <c r="AG370" i="2"/>
  <c r="AF370" i="2"/>
  <c r="AE370" i="2"/>
  <c r="AD370" i="2"/>
  <c r="AC370" i="2"/>
  <c r="AB370" i="2"/>
  <c r="AA370" i="2"/>
  <c r="Z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AI369" i="2"/>
  <c r="AH369" i="2"/>
  <c r="AG369" i="2"/>
  <c r="AF369" i="2"/>
  <c r="AE369" i="2"/>
  <c r="AD369" i="2"/>
  <c r="AC369" i="2"/>
  <c r="AB369" i="2"/>
  <c r="AA369" i="2"/>
  <c r="Z369" i="2"/>
  <c r="U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AI368" i="2"/>
  <c r="AH368" i="2"/>
  <c r="AG368" i="2"/>
  <c r="AF368" i="2"/>
  <c r="AE368" i="2"/>
  <c r="AD368" i="2"/>
  <c r="AC368" i="2"/>
  <c r="AB368" i="2"/>
  <c r="AA368" i="2"/>
  <c r="Z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AI367" i="2"/>
  <c r="AH367" i="2"/>
  <c r="AG367" i="2"/>
  <c r="AF367" i="2"/>
  <c r="AE367" i="2"/>
  <c r="AD367" i="2"/>
  <c r="AC367" i="2"/>
  <c r="AB367" i="2"/>
  <c r="AA367" i="2"/>
  <c r="Z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AI366" i="2"/>
  <c r="AH366" i="2"/>
  <c r="AG366" i="2"/>
  <c r="AF366" i="2"/>
  <c r="AE366" i="2"/>
  <c r="AD366" i="2"/>
  <c r="AC366" i="2"/>
  <c r="AB366" i="2"/>
  <c r="AA366" i="2"/>
  <c r="Z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AI365" i="2"/>
  <c r="AH365" i="2"/>
  <c r="AG365" i="2"/>
  <c r="AF365" i="2"/>
  <c r="AE365" i="2"/>
  <c r="AD365" i="2"/>
  <c r="AC365" i="2"/>
  <c r="AB365" i="2"/>
  <c r="AA365" i="2"/>
  <c r="Z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AI364" i="2"/>
  <c r="AH364" i="2"/>
  <c r="AG364" i="2"/>
  <c r="AF364" i="2"/>
  <c r="AE364" i="2"/>
  <c r="AD364" i="2"/>
  <c r="AC364" i="2"/>
  <c r="AB364" i="2"/>
  <c r="AA364" i="2"/>
  <c r="Z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AI363" i="2"/>
  <c r="AH363" i="2"/>
  <c r="AG363" i="2"/>
  <c r="AF363" i="2"/>
  <c r="AE363" i="2"/>
  <c r="AD363" i="2"/>
  <c r="AC363" i="2"/>
  <c r="AB363" i="2"/>
  <c r="AA363" i="2"/>
  <c r="Z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AI362" i="2"/>
  <c r="AH362" i="2"/>
  <c r="AG362" i="2"/>
  <c r="AF362" i="2"/>
  <c r="AE362" i="2"/>
  <c r="AD362" i="2"/>
  <c r="AC362" i="2"/>
  <c r="AB362" i="2"/>
  <c r="AA362" i="2"/>
  <c r="Z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AI361" i="2"/>
  <c r="AH361" i="2"/>
  <c r="AG361" i="2"/>
  <c r="AF361" i="2"/>
  <c r="AE361" i="2"/>
  <c r="AD361" i="2"/>
  <c r="AC361" i="2"/>
  <c r="AB361" i="2"/>
  <c r="AA361" i="2"/>
  <c r="Z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AI360" i="2"/>
  <c r="AH360" i="2"/>
  <c r="AG360" i="2"/>
  <c r="AF360" i="2"/>
  <c r="AE360" i="2"/>
  <c r="AD360" i="2"/>
  <c r="AC360" i="2"/>
  <c r="AB360" i="2"/>
  <c r="AA360" i="2"/>
  <c r="Z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AI359" i="2"/>
  <c r="AH359" i="2"/>
  <c r="AG359" i="2"/>
  <c r="AF359" i="2"/>
  <c r="AE359" i="2"/>
  <c r="AD359" i="2"/>
  <c r="AC359" i="2"/>
  <c r="AB359" i="2"/>
  <c r="AA359" i="2"/>
  <c r="Z359" i="2"/>
  <c r="U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AI358" i="2"/>
  <c r="AH358" i="2"/>
  <c r="AG358" i="2"/>
  <c r="AF358" i="2"/>
  <c r="AE358" i="2"/>
  <c r="AD358" i="2"/>
  <c r="AC358" i="2"/>
  <c r="AB358" i="2"/>
  <c r="AA358" i="2"/>
  <c r="Z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AI357" i="2"/>
  <c r="AH357" i="2"/>
  <c r="AG357" i="2"/>
  <c r="AF357" i="2"/>
  <c r="AE357" i="2"/>
  <c r="AD357" i="2"/>
  <c r="AC357" i="2"/>
  <c r="AB357" i="2"/>
  <c r="AA357" i="2"/>
  <c r="Z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AI356" i="2"/>
  <c r="AH356" i="2"/>
  <c r="AG356" i="2"/>
  <c r="AF356" i="2"/>
  <c r="AE356" i="2"/>
  <c r="AD356" i="2"/>
  <c r="AC356" i="2"/>
  <c r="AB356" i="2"/>
  <c r="AA356" i="2"/>
  <c r="Z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AI355" i="2"/>
  <c r="AH355" i="2"/>
  <c r="AG355" i="2"/>
  <c r="AF355" i="2"/>
  <c r="AE355" i="2"/>
  <c r="AD355" i="2"/>
  <c r="AC355" i="2"/>
  <c r="AB355" i="2"/>
  <c r="AA355" i="2"/>
  <c r="Z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AI354" i="2"/>
  <c r="AH354" i="2"/>
  <c r="AG354" i="2"/>
  <c r="AF354" i="2"/>
  <c r="AE354" i="2"/>
  <c r="AD354" i="2"/>
  <c r="AC354" i="2"/>
  <c r="AB354" i="2"/>
  <c r="AA354" i="2"/>
  <c r="Z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AI353" i="2"/>
  <c r="AH353" i="2"/>
  <c r="AG353" i="2"/>
  <c r="AF353" i="2"/>
  <c r="AE353" i="2"/>
  <c r="AD353" i="2"/>
  <c r="AC353" i="2"/>
  <c r="AB353" i="2"/>
  <c r="AA353" i="2"/>
  <c r="Z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AI352" i="2"/>
  <c r="AH352" i="2"/>
  <c r="AG352" i="2"/>
  <c r="AF352" i="2"/>
  <c r="AE352" i="2"/>
  <c r="AD352" i="2"/>
  <c r="AC352" i="2"/>
  <c r="AB352" i="2"/>
  <c r="AA352" i="2"/>
  <c r="Z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AI351" i="2"/>
  <c r="AH351" i="2"/>
  <c r="AG351" i="2"/>
  <c r="AF351" i="2"/>
  <c r="AE351" i="2"/>
  <c r="AD351" i="2"/>
  <c r="AC351" i="2"/>
  <c r="AB351" i="2"/>
  <c r="AA351" i="2"/>
  <c r="Z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AI350" i="2"/>
  <c r="AH350" i="2"/>
  <c r="AG350" i="2"/>
  <c r="AF350" i="2"/>
  <c r="AE350" i="2"/>
  <c r="AD350" i="2"/>
  <c r="AC350" i="2"/>
  <c r="AB350" i="2"/>
  <c r="AA350" i="2"/>
  <c r="Z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AI349" i="2"/>
  <c r="AH349" i="2"/>
  <c r="AG349" i="2"/>
  <c r="AF349" i="2"/>
  <c r="AE349" i="2"/>
  <c r="AD349" i="2"/>
  <c r="AC349" i="2"/>
  <c r="AB349" i="2"/>
  <c r="AA349" i="2"/>
  <c r="Z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AI348" i="2"/>
  <c r="AH348" i="2"/>
  <c r="AG348" i="2"/>
  <c r="AF348" i="2"/>
  <c r="AE348" i="2"/>
  <c r="AD348" i="2"/>
  <c r="AC348" i="2"/>
  <c r="AB348" i="2"/>
  <c r="AA348" i="2"/>
  <c r="Z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AI347" i="2"/>
  <c r="AH347" i="2"/>
  <c r="AG347" i="2"/>
  <c r="AF347" i="2"/>
  <c r="AE347" i="2"/>
  <c r="AD347" i="2"/>
  <c r="AC347" i="2"/>
  <c r="AB347" i="2"/>
  <c r="AA347" i="2"/>
  <c r="Z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AI346" i="2"/>
  <c r="AH346" i="2"/>
  <c r="AG346" i="2"/>
  <c r="AF346" i="2"/>
  <c r="AE346" i="2"/>
  <c r="AD346" i="2"/>
  <c r="AC346" i="2"/>
  <c r="AB346" i="2"/>
  <c r="AA346" i="2"/>
  <c r="Z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AI345" i="2"/>
  <c r="AH345" i="2"/>
  <c r="AG345" i="2"/>
  <c r="AF345" i="2"/>
  <c r="AE345" i="2"/>
  <c r="AD345" i="2"/>
  <c r="AC345" i="2"/>
  <c r="AB345" i="2"/>
  <c r="AA345" i="2"/>
  <c r="Z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AI344" i="2"/>
  <c r="AH344" i="2"/>
  <c r="AG344" i="2"/>
  <c r="AF344" i="2"/>
  <c r="AE344" i="2"/>
  <c r="AD344" i="2"/>
  <c r="AC344" i="2"/>
  <c r="AB344" i="2"/>
  <c r="AA344" i="2"/>
  <c r="Z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AI343" i="2"/>
  <c r="AH343" i="2"/>
  <c r="AG343" i="2"/>
  <c r="AF343" i="2"/>
  <c r="AE343" i="2"/>
  <c r="AD343" i="2"/>
  <c r="AC343" i="2"/>
  <c r="AB343" i="2"/>
  <c r="AA343" i="2"/>
  <c r="Z343" i="2"/>
  <c r="U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AI342" i="2"/>
  <c r="AH342" i="2"/>
  <c r="AG342" i="2"/>
  <c r="AF342" i="2"/>
  <c r="AE342" i="2"/>
  <c r="AD342" i="2"/>
  <c r="AC342" i="2"/>
  <c r="AB342" i="2"/>
  <c r="AA342" i="2"/>
  <c r="Z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AI341" i="2"/>
  <c r="AH341" i="2"/>
  <c r="AG341" i="2"/>
  <c r="AF341" i="2"/>
  <c r="AE341" i="2"/>
  <c r="AD341" i="2"/>
  <c r="AC341" i="2"/>
  <c r="AB341" i="2"/>
  <c r="AA341" i="2"/>
  <c r="Z341" i="2"/>
  <c r="U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AI340" i="2"/>
  <c r="AH340" i="2"/>
  <c r="AG340" i="2"/>
  <c r="AF340" i="2"/>
  <c r="AE340" i="2"/>
  <c r="AD340" i="2"/>
  <c r="AC340" i="2"/>
  <c r="AB340" i="2"/>
  <c r="AA340" i="2"/>
  <c r="Z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AI339" i="2"/>
  <c r="AH339" i="2"/>
  <c r="AG339" i="2"/>
  <c r="AF339" i="2"/>
  <c r="AE339" i="2"/>
  <c r="AD339" i="2"/>
  <c r="AC339" i="2"/>
  <c r="AB339" i="2"/>
  <c r="AA339" i="2"/>
  <c r="Z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AI338" i="2"/>
  <c r="AH338" i="2"/>
  <c r="AG338" i="2"/>
  <c r="AF338" i="2"/>
  <c r="AE338" i="2"/>
  <c r="AD338" i="2"/>
  <c r="AC338" i="2"/>
  <c r="AB338" i="2"/>
  <c r="AA338" i="2"/>
  <c r="Z338" i="2"/>
  <c r="U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AI337" i="2"/>
  <c r="AH337" i="2"/>
  <c r="AG337" i="2"/>
  <c r="AF337" i="2"/>
  <c r="AE337" i="2"/>
  <c r="AD337" i="2"/>
  <c r="AC337" i="2"/>
  <c r="AB337" i="2"/>
  <c r="AA337" i="2"/>
  <c r="Z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AI336" i="2"/>
  <c r="AH336" i="2"/>
  <c r="AG336" i="2"/>
  <c r="AF336" i="2"/>
  <c r="AE336" i="2"/>
  <c r="AD336" i="2"/>
  <c r="AC336" i="2"/>
  <c r="AB336" i="2"/>
  <c r="AA336" i="2"/>
  <c r="Z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AI335" i="2"/>
  <c r="AH335" i="2"/>
  <c r="AG335" i="2"/>
  <c r="AF335" i="2"/>
  <c r="AE335" i="2"/>
  <c r="AD335" i="2"/>
  <c r="AC335" i="2"/>
  <c r="AB335" i="2"/>
  <c r="AA335" i="2"/>
  <c r="Z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AI334" i="2"/>
  <c r="AH334" i="2"/>
  <c r="AG334" i="2"/>
  <c r="AF334" i="2"/>
  <c r="AE334" i="2"/>
  <c r="AD334" i="2"/>
  <c r="AC334" i="2"/>
  <c r="AB334" i="2"/>
  <c r="AA334" i="2"/>
  <c r="Z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AI333" i="2"/>
  <c r="AH333" i="2"/>
  <c r="AG333" i="2"/>
  <c r="AF333" i="2"/>
  <c r="AE333" i="2"/>
  <c r="AD333" i="2"/>
  <c r="AC333" i="2"/>
  <c r="AB333" i="2"/>
  <c r="AA333" i="2"/>
  <c r="Z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AI332" i="2"/>
  <c r="AH332" i="2"/>
  <c r="AG332" i="2"/>
  <c r="AF332" i="2"/>
  <c r="AE332" i="2"/>
  <c r="AD332" i="2"/>
  <c r="AC332" i="2"/>
  <c r="AB332" i="2"/>
  <c r="AA332" i="2"/>
  <c r="Z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AI331" i="2"/>
  <c r="AH331" i="2"/>
  <c r="AG331" i="2"/>
  <c r="AF331" i="2"/>
  <c r="AE331" i="2"/>
  <c r="AD331" i="2"/>
  <c r="AC331" i="2"/>
  <c r="AB331" i="2"/>
  <c r="AA331" i="2"/>
  <c r="Z331" i="2"/>
  <c r="U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AI330" i="2"/>
  <c r="AH330" i="2"/>
  <c r="AG330" i="2"/>
  <c r="AF330" i="2"/>
  <c r="AE330" i="2"/>
  <c r="AD330" i="2"/>
  <c r="AC330" i="2"/>
  <c r="AB330" i="2"/>
  <c r="AA330" i="2"/>
  <c r="Z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AI329" i="2"/>
  <c r="AH329" i="2"/>
  <c r="AG329" i="2"/>
  <c r="AF329" i="2"/>
  <c r="AE329" i="2"/>
  <c r="AD329" i="2"/>
  <c r="AC329" i="2"/>
  <c r="AB329" i="2"/>
  <c r="AA329" i="2"/>
  <c r="Z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AI328" i="2"/>
  <c r="AH328" i="2"/>
  <c r="AG328" i="2"/>
  <c r="AF328" i="2"/>
  <c r="AE328" i="2"/>
  <c r="AD328" i="2"/>
  <c r="AC328" i="2"/>
  <c r="AB328" i="2"/>
  <c r="AA328" i="2"/>
  <c r="Z328" i="2"/>
  <c r="U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AI327" i="2"/>
  <c r="AH327" i="2"/>
  <c r="AG327" i="2"/>
  <c r="AF327" i="2"/>
  <c r="AE327" i="2"/>
  <c r="AD327" i="2"/>
  <c r="AC327" i="2"/>
  <c r="AB327" i="2"/>
  <c r="AA327" i="2"/>
  <c r="Z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AI326" i="2"/>
  <c r="AH326" i="2"/>
  <c r="AG326" i="2"/>
  <c r="AF326" i="2"/>
  <c r="AE326" i="2"/>
  <c r="AD326" i="2"/>
  <c r="AC326" i="2"/>
  <c r="AB326" i="2"/>
  <c r="AA326" i="2"/>
  <c r="Z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AI325" i="2"/>
  <c r="AH325" i="2"/>
  <c r="AG325" i="2"/>
  <c r="AF325" i="2"/>
  <c r="AE325" i="2"/>
  <c r="AD325" i="2"/>
  <c r="AC325" i="2"/>
  <c r="AB325" i="2"/>
  <c r="AA325" i="2"/>
  <c r="Z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AI324" i="2"/>
  <c r="AH324" i="2"/>
  <c r="AG324" i="2"/>
  <c r="AF324" i="2"/>
  <c r="AE324" i="2"/>
  <c r="AD324" i="2"/>
  <c r="AC324" i="2"/>
  <c r="AB324" i="2"/>
  <c r="AA324" i="2"/>
  <c r="Z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AI323" i="2"/>
  <c r="AH323" i="2"/>
  <c r="AG323" i="2"/>
  <c r="AF323" i="2"/>
  <c r="AE323" i="2"/>
  <c r="AD323" i="2"/>
  <c r="AC323" i="2"/>
  <c r="AB323" i="2"/>
  <c r="AA323" i="2"/>
  <c r="Z323" i="2"/>
  <c r="U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AI322" i="2"/>
  <c r="AH322" i="2"/>
  <c r="AG322" i="2"/>
  <c r="AF322" i="2"/>
  <c r="AE322" i="2"/>
  <c r="AD322" i="2"/>
  <c r="AC322" i="2"/>
  <c r="AB322" i="2"/>
  <c r="AA322" i="2"/>
  <c r="Z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AI321" i="2"/>
  <c r="AH321" i="2"/>
  <c r="AG321" i="2"/>
  <c r="AF321" i="2"/>
  <c r="AE321" i="2"/>
  <c r="AD321" i="2"/>
  <c r="AC321" i="2"/>
  <c r="AB321" i="2"/>
  <c r="AA321" i="2"/>
  <c r="Z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AI320" i="2"/>
  <c r="AH320" i="2"/>
  <c r="AG320" i="2"/>
  <c r="AF320" i="2"/>
  <c r="AE320" i="2"/>
  <c r="AD320" i="2"/>
  <c r="AC320" i="2"/>
  <c r="AB320" i="2"/>
  <c r="AA320" i="2"/>
  <c r="Z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AI319" i="2"/>
  <c r="AH319" i="2"/>
  <c r="AG319" i="2"/>
  <c r="AF319" i="2"/>
  <c r="AE319" i="2"/>
  <c r="AD319" i="2"/>
  <c r="AC319" i="2"/>
  <c r="AB319" i="2"/>
  <c r="AA319" i="2"/>
  <c r="Z319" i="2"/>
  <c r="U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AI318" i="2"/>
  <c r="AH318" i="2"/>
  <c r="AG318" i="2"/>
  <c r="AF318" i="2"/>
  <c r="AE318" i="2"/>
  <c r="AD318" i="2"/>
  <c r="AC318" i="2"/>
  <c r="AB318" i="2"/>
  <c r="AA318" i="2"/>
  <c r="Z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AI317" i="2"/>
  <c r="AH317" i="2"/>
  <c r="AG317" i="2"/>
  <c r="AF317" i="2"/>
  <c r="AE317" i="2"/>
  <c r="AD317" i="2"/>
  <c r="AC317" i="2"/>
  <c r="AB317" i="2"/>
  <c r="AA317" i="2"/>
  <c r="Z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AI316" i="2"/>
  <c r="AH316" i="2"/>
  <c r="AG316" i="2"/>
  <c r="AF316" i="2"/>
  <c r="AE316" i="2"/>
  <c r="AD316" i="2"/>
  <c r="AC316" i="2"/>
  <c r="AB316" i="2"/>
  <c r="AA316" i="2"/>
  <c r="Z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AI315" i="2"/>
  <c r="AH315" i="2"/>
  <c r="AG315" i="2"/>
  <c r="AF315" i="2"/>
  <c r="AE315" i="2"/>
  <c r="AD315" i="2"/>
  <c r="AC315" i="2"/>
  <c r="AB315" i="2"/>
  <c r="AA315" i="2"/>
  <c r="Z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AI314" i="2"/>
  <c r="AH314" i="2"/>
  <c r="AG314" i="2"/>
  <c r="AF314" i="2"/>
  <c r="AE314" i="2"/>
  <c r="AD314" i="2"/>
  <c r="AC314" i="2"/>
  <c r="AB314" i="2"/>
  <c r="AA314" i="2"/>
  <c r="Z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AI313" i="2"/>
  <c r="AH313" i="2"/>
  <c r="AG313" i="2"/>
  <c r="AF313" i="2"/>
  <c r="AE313" i="2"/>
  <c r="AD313" i="2"/>
  <c r="AC313" i="2"/>
  <c r="AB313" i="2"/>
  <c r="AA313" i="2"/>
  <c r="Z313" i="2"/>
  <c r="U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AI312" i="2"/>
  <c r="AH312" i="2"/>
  <c r="AG312" i="2"/>
  <c r="AF312" i="2"/>
  <c r="AE312" i="2"/>
  <c r="AD312" i="2"/>
  <c r="AC312" i="2"/>
  <c r="AB312" i="2"/>
  <c r="AA312" i="2"/>
  <c r="Z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AI311" i="2"/>
  <c r="AH311" i="2"/>
  <c r="AG311" i="2"/>
  <c r="AF311" i="2"/>
  <c r="AE311" i="2"/>
  <c r="AD311" i="2"/>
  <c r="AC311" i="2"/>
  <c r="AB311" i="2"/>
  <c r="AA311" i="2"/>
  <c r="Z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AI310" i="2"/>
  <c r="AH310" i="2"/>
  <c r="AG310" i="2"/>
  <c r="AF310" i="2"/>
  <c r="AE310" i="2"/>
  <c r="AD310" i="2"/>
  <c r="AC310" i="2"/>
  <c r="AB310" i="2"/>
  <c r="AA310" i="2"/>
  <c r="Z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AI309" i="2"/>
  <c r="AH309" i="2"/>
  <c r="AG309" i="2"/>
  <c r="AF309" i="2"/>
  <c r="AE309" i="2"/>
  <c r="AD309" i="2"/>
  <c r="AC309" i="2"/>
  <c r="AB309" i="2"/>
  <c r="AA309" i="2"/>
  <c r="Z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AI308" i="2"/>
  <c r="AH308" i="2"/>
  <c r="AG308" i="2"/>
  <c r="AF308" i="2"/>
  <c r="AE308" i="2"/>
  <c r="AD308" i="2"/>
  <c r="AC308" i="2"/>
  <c r="AB308" i="2"/>
  <c r="AA308" i="2"/>
  <c r="Z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AI307" i="2"/>
  <c r="AH307" i="2"/>
  <c r="AG307" i="2"/>
  <c r="AF307" i="2"/>
  <c r="AE307" i="2"/>
  <c r="AD307" i="2"/>
  <c r="AC307" i="2"/>
  <c r="AB307" i="2"/>
  <c r="AA307" i="2"/>
  <c r="Z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AI306" i="2"/>
  <c r="AH306" i="2"/>
  <c r="AG306" i="2"/>
  <c r="AF306" i="2"/>
  <c r="AE306" i="2"/>
  <c r="AD306" i="2"/>
  <c r="AC306" i="2"/>
  <c r="AB306" i="2"/>
  <c r="AA306" i="2"/>
  <c r="Z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AI305" i="2"/>
  <c r="AH305" i="2"/>
  <c r="AG305" i="2"/>
  <c r="AF305" i="2"/>
  <c r="AE305" i="2"/>
  <c r="AD305" i="2"/>
  <c r="AC305" i="2"/>
  <c r="AB305" i="2"/>
  <c r="AA305" i="2"/>
  <c r="Z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AI304" i="2"/>
  <c r="AH304" i="2"/>
  <c r="AG304" i="2"/>
  <c r="AF304" i="2"/>
  <c r="AE304" i="2"/>
  <c r="AD304" i="2"/>
  <c r="AC304" i="2"/>
  <c r="AB304" i="2"/>
  <c r="AA304" i="2"/>
  <c r="Z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AI303" i="2"/>
  <c r="AH303" i="2"/>
  <c r="AG303" i="2"/>
  <c r="AF303" i="2"/>
  <c r="AE303" i="2"/>
  <c r="AD303" i="2"/>
  <c r="AC303" i="2"/>
  <c r="AB303" i="2"/>
  <c r="AA303" i="2"/>
  <c r="Z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AI302" i="2"/>
  <c r="AH302" i="2"/>
  <c r="AG302" i="2"/>
  <c r="AF302" i="2"/>
  <c r="AE302" i="2"/>
  <c r="AD302" i="2"/>
  <c r="AC302" i="2"/>
  <c r="AB302" i="2"/>
  <c r="AA302" i="2"/>
  <c r="Z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AI301" i="2"/>
  <c r="AH301" i="2"/>
  <c r="AG301" i="2"/>
  <c r="AF301" i="2"/>
  <c r="AE301" i="2"/>
  <c r="AD301" i="2"/>
  <c r="AC301" i="2"/>
  <c r="AB301" i="2"/>
  <c r="AA301" i="2"/>
  <c r="Z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AI300" i="2"/>
  <c r="AH300" i="2"/>
  <c r="AG300" i="2"/>
  <c r="AF300" i="2"/>
  <c r="AE300" i="2"/>
  <c r="AD300" i="2"/>
  <c r="AC300" i="2"/>
  <c r="AB300" i="2"/>
  <c r="AA300" i="2"/>
  <c r="Z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AI299" i="2"/>
  <c r="AH299" i="2"/>
  <c r="AG299" i="2"/>
  <c r="AF299" i="2"/>
  <c r="AE299" i="2"/>
  <c r="AD299" i="2"/>
  <c r="AC299" i="2"/>
  <c r="AB299" i="2"/>
  <c r="AA299" i="2"/>
  <c r="Z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AI298" i="2"/>
  <c r="AH298" i="2"/>
  <c r="AG298" i="2"/>
  <c r="AF298" i="2"/>
  <c r="AE298" i="2"/>
  <c r="AD298" i="2"/>
  <c r="AC298" i="2"/>
  <c r="AB298" i="2"/>
  <c r="AA298" i="2"/>
  <c r="Z298" i="2"/>
  <c r="U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AI297" i="2"/>
  <c r="AH297" i="2"/>
  <c r="AG297" i="2"/>
  <c r="AF297" i="2"/>
  <c r="AE297" i="2"/>
  <c r="AD297" i="2"/>
  <c r="AC297" i="2"/>
  <c r="AB297" i="2"/>
  <c r="AA297" i="2"/>
  <c r="Z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AI296" i="2"/>
  <c r="AH296" i="2"/>
  <c r="AG296" i="2"/>
  <c r="AF296" i="2"/>
  <c r="AE296" i="2"/>
  <c r="AD296" i="2"/>
  <c r="AC296" i="2"/>
  <c r="AB296" i="2"/>
  <c r="AA296" i="2"/>
  <c r="Z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AI295" i="2"/>
  <c r="AH295" i="2"/>
  <c r="AG295" i="2"/>
  <c r="AF295" i="2"/>
  <c r="AE295" i="2"/>
  <c r="AD295" i="2"/>
  <c r="AC295" i="2"/>
  <c r="AB295" i="2"/>
  <c r="AA295" i="2"/>
  <c r="Z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AI294" i="2"/>
  <c r="AH294" i="2"/>
  <c r="AG294" i="2"/>
  <c r="AF294" i="2"/>
  <c r="AE294" i="2"/>
  <c r="AD294" i="2"/>
  <c r="AC294" i="2"/>
  <c r="AB294" i="2"/>
  <c r="AA294" i="2"/>
  <c r="Z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AI293" i="2"/>
  <c r="AH293" i="2"/>
  <c r="AG293" i="2"/>
  <c r="AF293" i="2"/>
  <c r="AE293" i="2"/>
  <c r="AD293" i="2"/>
  <c r="AC293" i="2"/>
  <c r="AB293" i="2"/>
  <c r="AA293" i="2"/>
  <c r="Z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AI292" i="2"/>
  <c r="AH292" i="2"/>
  <c r="AG292" i="2"/>
  <c r="AF292" i="2"/>
  <c r="AE292" i="2"/>
  <c r="AD292" i="2"/>
  <c r="AC292" i="2"/>
  <c r="AB292" i="2"/>
  <c r="AA292" i="2"/>
  <c r="Z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AI291" i="2"/>
  <c r="AH291" i="2"/>
  <c r="AG291" i="2"/>
  <c r="AF291" i="2"/>
  <c r="AE291" i="2"/>
  <c r="AD291" i="2"/>
  <c r="AC291" i="2"/>
  <c r="AB291" i="2"/>
  <c r="AA291" i="2"/>
  <c r="Z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AI290" i="2"/>
  <c r="AH290" i="2"/>
  <c r="AG290" i="2"/>
  <c r="AF290" i="2"/>
  <c r="AE290" i="2"/>
  <c r="AD290" i="2"/>
  <c r="AC290" i="2"/>
  <c r="AB290" i="2"/>
  <c r="AA290" i="2"/>
  <c r="Z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AI289" i="2"/>
  <c r="AH289" i="2"/>
  <c r="AG289" i="2"/>
  <c r="AF289" i="2"/>
  <c r="AE289" i="2"/>
  <c r="AD289" i="2"/>
  <c r="AC289" i="2"/>
  <c r="AB289" i="2"/>
  <c r="AA289" i="2"/>
  <c r="Z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AI288" i="2"/>
  <c r="AH288" i="2"/>
  <c r="AG288" i="2"/>
  <c r="AF288" i="2"/>
  <c r="AE288" i="2"/>
  <c r="AD288" i="2"/>
  <c r="AC288" i="2"/>
  <c r="AB288" i="2"/>
  <c r="AA288" i="2"/>
  <c r="Z288" i="2"/>
  <c r="U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AI287" i="2"/>
  <c r="AH287" i="2"/>
  <c r="AG287" i="2"/>
  <c r="AF287" i="2"/>
  <c r="AE287" i="2"/>
  <c r="AD287" i="2"/>
  <c r="AC287" i="2"/>
  <c r="AB287" i="2"/>
  <c r="AA287" i="2"/>
  <c r="Z287" i="2"/>
  <c r="U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AI286" i="2"/>
  <c r="AH286" i="2"/>
  <c r="AG286" i="2"/>
  <c r="AF286" i="2"/>
  <c r="AE286" i="2"/>
  <c r="AD286" i="2"/>
  <c r="AC286" i="2"/>
  <c r="AB286" i="2"/>
  <c r="AA286" i="2"/>
  <c r="Z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AI285" i="2"/>
  <c r="AH285" i="2"/>
  <c r="AG285" i="2"/>
  <c r="AF285" i="2"/>
  <c r="AE285" i="2"/>
  <c r="AD285" i="2"/>
  <c r="AC285" i="2"/>
  <c r="AB285" i="2"/>
  <c r="AA285" i="2"/>
  <c r="Z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AI284" i="2"/>
  <c r="AH284" i="2"/>
  <c r="AG284" i="2"/>
  <c r="AF284" i="2"/>
  <c r="AE284" i="2"/>
  <c r="AD284" i="2"/>
  <c r="AC284" i="2"/>
  <c r="AB284" i="2"/>
  <c r="AA284" i="2"/>
  <c r="Z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AI283" i="2"/>
  <c r="AH283" i="2"/>
  <c r="AG283" i="2"/>
  <c r="AF283" i="2"/>
  <c r="AE283" i="2"/>
  <c r="AD283" i="2"/>
  <c r="AC283" i="2"/>
  <c r="AB283" i="2"/>
  <c r="AA283" i="2"/>
  <c r="Z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AI282" i="2"/>
  <c r="AA282" i="2"/>
  <c r="Z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AI281" i="2"/>
  <c r="AH281" i="2"/>
  <c r="AG281" i="2"/>
  <c r="AF281" i="2"/>
  <c r="AE281" i="2"/>
  <c r="AD281" i="2"/>
  <c r="AC281" i="2"/>
  <c r="AB281" i="2"/>
  <c r="AA281" i="2"/>
  <c r="Z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AI280" i="2"/>
  <c r="AH280" i="2"/>
  <c r="AG280" i="2"/>
  <c r="AF280" i="2"/>
  <c r="AE280" i="2"/>
  <c r="AD280" i="2"/>
  <c r="AC280" i="2"/>
  <c r="AB280" i="2"/>
  <c r="AA280" i="2"/>
  <c r="Z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AI279" i="2"/>
  <c r="AH279" i="2"/>
  <c r="AG279" i="2"/>
  <c r="AF279" i="2"/>
  <c r="AE279" i="2"/>
  <c r="AD279" i="2"/>
  <c r="AC279" i="2"/>
  <c r="AB279" i="2"/>
  <c r="AA279" i="2"/>
  <c r="Z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AI278" i="2"/>
  <c r="AH278" i="2"/>
  <c r="AG278" i="2"/>
  <c r="AF278" i="2"/>
  <c r="AE278" i="2"/>
  <c r="AD278" i="2"/>
  <c r="AC278" i="2"/>
  <c r="AB278" i="2"/>
  <c r="AA278" i="2"/>
  <c r="Z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AI277" i="2"/>
  <c r="AH277" i="2"/>
  <c r="AG277" i="2"/>
  <c r="AF277" i="2"/>
  <c r="AE277" i="2"/>
  <c r="AD277" i="2"/>
  <c r="AC277" i="2"/>
  <c r="AB277" i="2"/>
  <c r="AA277" i="2"/>
  <c r="Z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AI276" i="2"/>
  <c r="AH276" i="2"/>
  <c r="AG276" i="2"/>
  <c r="AF276" i="2"/>
  <c r="AE276" i="2"/>
  <c r="AD276" i="2"/>
  <c r="AC276" i="2"/>
  <c r="AB276" i="2"/>
  <c r="AA276" i="2"/>
  <c r="Z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AI275" i="2"/>
  <c r="AH275" i="2"/>
  <c r="AG275" i="2"/>
  <c r="AF275" i="2"/>
  <c r="AE275" i="2"/>
  <c r="AD275" i="2"/>
  <c r="AC275" i="2"/>
  <c r="AB275" i="2"/>
  <c r="AA275" i="2"/>
  <c r="Z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AI274" i="2"/>
  <c r="AH274" i="2"/>
  <c r="AG274" i="2"/>
  <c r="AF274" i="2"/>
  <c r="AE274" i="2"/>
  <c r="AD274" i="2"/>
  <c r="AC274" i="2"/>
  <c r="AB274" i="2"/>
  <c r="AA274" i="2"/>
  <c r="Z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AI273" i="2"/>
  <c r="AH273" i="2"/>
  <c r="AG273" i="2"/>
  <c r="AF273" i="2"/>
  <c r="AE273" i="2"/>
  <c r="AD273" i="2"/>
  <c r="AC273" i="2"/>
  <c r="AB273" i="2"/>
  <c r="AA273" i="2"/>
  <c r="Z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AI272" i="2"/>
  <c r="AH272" i="2"/>
  <c r="AG272" i="2"/>
  <c r="AF272" i="2"/>
  <c r="AE272" i="2"/>
  <c r="AD272" i="2"/>
  <c r="AC272" i="2"/>
  <c r="AB272" i="2"/>
  <c r="AA272" i="2"/>
  <c r="Z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AI271" i="2"/>
  <c r="AH271" i="2"/>
  <c r="AG271" i="2"/>
  <c r="AF271" i="2"/>
  <c r="AE271" i="2"/>
  <c r="AD271" i="2"/>
  <c r="AC271" i="2"/>
  <c r="AB271" i="2"/>
  <c r="AA271" i="2"/>
  <c r="Z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AI270" i="2"/>
  <c r="AH270" i="2"/>
  <c r="AG270" i="2"/>
  <c r="AF270" i="2"/>
  <c r="AE270" i="2"/>
  <c r="AD270" i="2"/>
  <c r="AC270" i="2"/>
  <c r="AB270" i="2"/>
  <c r="AA270" i="2"/>
  <c r="Z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AI269" i="2"/>
  <c r="AH269" i="2"/>
  <c r="AG269" i="2"/>
  <c r="AF269" i="2"/>
  <c r="AE269" i="2"/>
  <c r="AD269" i="2"/>
  <c r="AC269" i="2"/>
  <c r="AB269" i="2"/>
  <c r="AA269" i="2"/>
  <c r="Z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AI268" i="2"/>
  <c r="AH268" i="2"/>
  <c r="AG268" i="2"/>
  <c r="AF268" i="2"/>
  <c r="AE268" i="2"/>
  <c r="AD268" i="2"/>
  <c r="AC268" i="2"/>
  <c r="AB268" i="2"/>
  <c r="AA268" i="2"/>
  <c r="Z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AI267" i="2"/>
  <c r="AH267" i="2"/>
  <c r="AG267" i="2"/>
  <c r="AF267" i="2"/>
  <c r="AE267" i="2"/>
  <c r="AD267" i="2"/>
  <c r="AC267" i="2"/>
  <c r="AB267" i="2"/>
  <c r="AA267" i="2"/>
  <c r="Z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I266" i="2"/>
  <c r="AH266" i="2"/>
  <c r="AG266" i="2"/>
  <c r="AF266" i="2"/>
  <c r="AE266" i="2"/>
  <c r="AD266" i="2"/>
  <c r="AC266" i="2"/>
  <c r="AB266" i="2"/>
  <c r="AA266" i="2"/>
  <c r="Z266" i="2"/>
  <c r="U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I265" i="2"/>
  <c r="AH265" i="2"/>
  <c r="AG265" i="2"/>
  <c r="AF265" i="2"/>
  <c r="AE265" i="2"/>
  <c r="AD265" i="2"/>
  <c r="AC265" i="2"/>
  <c r="AB265" i="2"/>
  <c r="AA265" i="2"/>
  <c r="Z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I264" i="2"/>
  <c r="AH264" i="2"/>
  <c r="AG264" i="2"/>
  <c r="AF264" i="2"/>
  <c r="AE264" i="2"/>
  <c r="AD264" i="2"/>
  <c r="AC264" i="2"/>
  <c r="AB264" i="2"/>
  <c r="AA264" i="2"/>
  <c r="Z264" i="2"/>
  <c r="U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I263" i="2"/>
  <c r="AH263" i="2"/>
  <c r="AG263" i="2"/>
  <c r="AF263" i="2"/>
  <c r="AE263" i="2"/>
  <c r="AD263" i="2"/>
  <c r="AC263" i="2"/>
  <c r="AB263" i="2"/>
  <c r="AA263" i="2"/>
  <c r="Z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I262" i="2"/>
  <c r="AH262" i="2"/>
  <c r="AG262" i="2"/>
  <c r="AF262" i="2"/>
  <c r="AE262" i="2"/>
  <c r="AD262" i="2"/>
  <c r="AC262" i="2"/>
  <c r="AB262" i="2"/>
  <c r="AA262" i="2"/>
  <c r="Z262" i="2"/>
  <c r="U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I261" i="2"/>
  <c r="AH261" i="2"/>
  <c r="AG261" i="2"/>
  <c r="AF261" i="2"/>
  <c r="AE261" i="2"/>
  <c r="AD261" i="2"/>
  <c r="AC261" i="2"/>
  <c r="AB261" i="2"/>
  <c r="AA261" i="2"/>
  <c r="Z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I260" i="2"/>
  <c r="AH260" i="2"/>
  <c r="AG260" i="2"/>
  <c r="AF260" i="2"/>
  <c r="AE260" i="2"/>
  <c r="AD260" i="2"/>
  <c r="AC260" i="2"/>
  <c r="AB260" i="2"/>
  <c r="AA260" i="2"/>
  <c r="Z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I259" i="2"/>
  <c r="AH259" i="2"/>
  <c r="AG259" i="2"/>
  <c r="AF259" i="2"/>
  <c r="AE259" i="2"/>
  <c r="AD259" i="2"/>
  <c r="AC259" i="2"/>
  <c r="AB259" i="2"/>
  <c r="AA259" i="2"/>
  <c r="Z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I258" i="2"/>
  <c r="AH258" i="2"/>
  <c r="AG258" i="2"/>
  <c r="AF258" i="2"/>
  <c r="AE258" i="2"/>
  <c r="AD258" i="2"/>
  <c r="AC258" i="2"/>
  <c r="AB258" i="2"/>
  <c r="AA258" i="2"/>
  <c r="Z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I257" i="2"/>
  <c r="AH257" i="2"/>
  <c r="AG257" i="2"/>
  <c r="AF257" i="2"/>
  <c r="AE257" i="2"/>
  <c r="AD257" i="2"/>
  <c r="AC257" i="2"/>
  <c r="AB257" i="2"/>
  <c r="AA257" i="2"/>
  <c r="Z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I256" i="2"/>
  <c r="AH256" i="2"/>
  <c r="AG256" i="2"/>
  <c r="AF256" i="2"/>
  <c r="AE256" i="2"/>
  <c r="AD256" i="2"/>
  <c r="AC256" i="2"/>
  <c r="AB256" i="2"/>
  <c r="AA256" i="2"/>
  <c r="Z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I255" i="2"/>
  <c r="AH255" i="2"/>
  <c r="AG255" i="2"/>
  <c r="AF255" i="2"/>
  <c r="AE255" i="2"/>
  <c r="AD255" i="2"/>
  <c r="AC255" i="2"/>
  <c r="AB255" i="2"/>
  <c r="AA255" i="2"/>
  <c r="Z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I254" i="2"/>
  <c r="AH254" i="2"/>
  <c r="AG254" i="2"/>
  <c r="AF254" i="2"/>
  <c r="AE254" i="2"/>
  <c r="AD254" i="2"/>
  <c r="AC254" i="2"/>
  <c r="AB254" i="2"/>
  <c r="AA254" i="2"/>
  <c r="Z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I253" i="2"/>
  <c r="AH253" i="2"/>
  <c r="AG253" i="2"/>
  <c r="AF253" i="2"/>
  <c r="AE253" i="2"/>
  <c r="AD253" i="2"/>
  <c r="AC253" i="2"/>
  <c r="AB253" i="2"/>
  <c r="AA253" i="2"/>
  <c r="Z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I252" i="2"/>
  <c r="AH252" i="2"/>
  <c r="AG252" i="2"/>
  <c r="AF252" i="2"/>
  <c r="AE252" i="2"/>
  <c r="AD252" i="2"/>
  <c r="AC252" i="2"/>
  <c r="AB252" i="2"/>
  <c r="AA252" i="2"/>
  <c r="Z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I251" i="2"/>
  <c r="AH251" i="2"/>
  <c r="AG251" i="2"/>
  <c r="AF251" i="2"/>
  <c r="AE251" i="2"/>
  <c r="AD251" i="2"/>
  <c r="AC251" i="2"/>
  <c r="AB251" i="2"/>
  <c r="AA251" i="2"/>
  <c r="Z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I250" i="2"/>
  <c r="AH250" i="2"/>
  <c r="AG250" i="2"/>
  <c r="AF250" i="2"/>
  <c r="AE250" i="2"/>
  <c r="AD250" i="2"/>
  <c r="AC250" i="2"/>
  <c r="AB250" i="2"/>
  <c r="AA250" i="2"/>
  <c r="Z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I249" i="2"/>
  <c r="AA249" i="2"/>
  <c r="Z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I248" i="2"/>
  <c r="AH248" i="2"/>
  <c r="AG248" i="2"/>
  <c r="AF248" i="2"/>
  <c r="AE248" i="2"/>
  <c r="AD248" i="2"/>
  <c r="AC248" i="2"/>
  <c r="AB248" i="2"/>
  <c r="AA248" i="2"/>
  <c r="Z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I247" i="2"/>
  <c r="AH247" i="2"/>
  <c r="AG247" i="2"/>
  <c r="AF247" i="2"/>
  <c r="AE247" i="2"/>
  <c r="AD247" i="2"/>
  <c r="AC247" i="2"/>
  <c r="AB247" i="2"/>
  <c r="AA247" i="2"/>
  <c r="Z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I246" i="2"/>
  <c r="AH246" i="2"/>
  <c r="AG246" i="2"/>
  <c r="AF246" i="2"/>
  <c r="AE246" i="2"/>
  <c r="AD246" i="2"/>
  <c r="AC246" i="2"/>
  <c r="AB246" i="2"/>
  <c r="AA246" i="2"/>
  <c r="Z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I245" i="2"/>
  <c r="AH245" i="2"/>
  <c r="AG245" i="2"/>
  <c r="AF245" i="2"/>
  <c r="AE245" i="2"/>
  <c r="AD245" i="2"/>
  <c r="AC245" i="2"/>
  <c r="AB245" i="2"/>
  <c r="AA245" i="2"/>
  <c r="Z245" i="2"/>
  <c r="U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I244" i="2"/>
  <c r="AH244" i="2"/>
  <c r="AG244" i="2"/>
  <c r="AF244" i="2"/>
  <c r="AE244" i="2"/>
  <c r="AD244" i="2"/>
  <c r="AC244" i="2"/>
  <c r="AB244" i="2"/>
  <c r="AA244" i="2"/>
  <c r="Z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I243" i="2"/>
  <c r="AH243" i="2"/>
  <c r="AG243" i="2"/>
  <c r="AF243" i="2"/>
  <c r="AE243" i="2"/>
  <c r="AD243" i="2"/>
  <c r="AC243" i="2"/>
  <c r="AB243" i="2"/>
  <c r="AA243" i="2"/>
  <c r="Z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I242" i="2"/>
  <c r="AH242" i="2"/>
  <c r="AG242" i="2"/>
  <c r="AF242" i="2"/>
  <c r="AE242" i="2"/>
  <c r="AD242" i="2"/>
  <c r="AC242" i="2"/>
  <c r="AB242" i="2"/>
  <c r="AA242" i="2"/>
  <c r="Z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I241" i="2"/>
  <c r="AH241" i="2"/>
  <c r="AG241" i="2"/>
  <c r="AF241" i="2"/>
  <c r="AE241" i="2"/>
  <c r="AD241" i="2"/>
  <c r="AC241" i="2"/>
  <c r="AB241" i="2"/>
  <c r="AA241" i="2"/>
  <c r="Z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I240" i="2"/>
  <c r="AH240" i="2"/>
  <c r="AG240" i="2"/>
  <c r="AF240" i="2"/>
  <c r="AE240" i="2"/>
  <c r="AD240" i="2"/>
  <c r="AC240" i="2"/>
  <c r="AB240" i="2"/>
  <c r="AA240" i="2"/>
  <c r="Z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I239" i="2"/>
  <c r="AH239" i="2"/>
  <c r="AG239" i="2"/>
  <c r="AF239" i="2"/>
  <c r="AE239" i="2"/>
  <c r="AD239" i="2"/>
  <c r="AC239" i="2"/>
  <c r="AB239" i="2"/>
  <c r="AA239" i="2"/>
  <c r="Z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I238" i="2"/>
  <c r="AA238" i="2"/>
  <c r="Z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I237" i="2"/>
  <c r="AA237" i="2"/>
  <c r="Z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I236" i="2"/>
  <c r="AH236" i="2"/>
  <c r="AG236" i="2"/>
  <c r="AF236" i="2"/>
  <c r="AE236" i="2"/>
  <c r="AD236" i="2"/>
  <c r="AC236" i="2"/>
  <c r="AB236" i="2"/>
  <c r="AA236" i="2"/>
  <c r="Z236" i="2"/>
  <c r="U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I235" i="2"/>
  <c r="AH235" i="2"/>
  <c r="AG235" i="2"/>
  <c r="AF235" i="2"/>
  <c r="AE235" i="2"/>
  <c r="AD235" i="2"/>
  <c r="AC235" i="2"/>
  <c r="AB235" i="2"/>
  <c r="AA235" i="2"/>
  <c r="Z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I234" i="2"/>
  <c r="AA234" i="2"/>
  <c r="Z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I233" i="2"/>
  <c r="AA233" i="2"/>
  <c r="Z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I232" i="2"/>
  <c r="AA232" i="2"/>
  <c r="Z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I231" i="2"/>
  <c r="AH231" i="2"/>
  <c r="AG231" i="2"/>
  <c r="AF231" i="2"/>
  <c r="AE231" i="2"/>
  <c r="AD231" i="2"/>
  <c r="AC231" i="2"/>
  <c r="AB231" i="2"/>
  <c r="AA231" i="2"/>
  <c r="Z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I230" i="2"/>
  <c r="AA230" i="2"/>
  <c r="Z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I229" i="2"/>
  <c r="AA229" i="2"/>
  <c r="Z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I228" i="2"/>
  <c r="AH228" i="2"/>
  <c r="AG228" i="2"/>
  <c r="AF228" i="2"/>
  <c r="AE228" i="2"/>
  <c r="AD228" i="2"/>
  <c r="AC228" i="2"/>
  <c r="AB228" i="2"/>
  <c r="AA228" i="2"/>
  <c r="Z228" i="2"/>
  <c r="U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I227" i="2"/>
  <c r="AA227" i="2"/>
  <c r="Z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I226" i="2"/>
  <c r="AH226" i="2"/>
  <c r="AG226" i="2"/>
  <c r="AF226" i="2"/>
  <c r="AE226" i="2"/>
  <c r="AD226" i="2"/>
  <c r="AC226" i="2"/>
  <c r="AB226" i="2"/>
  <c r="AA226" i="2"/>
  <c r="Z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I225" i="2"/>
  <c r="AH225" i="2"/>
  <c r="AG225" i="2"/>
  <c r="AF225" i="2"/>
  <c r="AE225" i="2"/>
  <c r="AD225" i="2"/>
  <c r="AC225" i="2"/>
  <c r="AB225" i="2"/>
  <c r="AA225" i="2"/>
  <c r="Z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I224" i="2"/>
  <c r="AH224" i="2"/>
  <c r="AG224" i="2"/>
  <c r="AF224" i="2"/>
  <c r="AE224" i="2"/>
  <c r="AD224" i="2"/>
  <c r="AC224" i="2"/>
  <c r="AB224" i="2"/>
  <c r="AA224" i="2"/>
  <c r="Z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I223" i="2"/>
  <c r="AA223" i="2"/>
  <c r="Z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I222" i="2"/>
  <c r="AH222" i="2"/>
  <c r="AG222" i="2"/>
  <c r="AF222" i="2"/>
  <c r="AE222" i="2"/>
  <c r="AD222" i="2"/>
  <c r="AC222" i="2"/>
  <c r="AB222" i="2"/>
  <c r="AA222" i="2"/>
  <c r="Z222" i="2"/>
  <c r="U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I221" i="2"/>
  <c r="AH221" i="2"/>
  <c r="AG221" i="2"/>
  <c r="AF221" i="2"/>
  <c r="AE221" i="2"/>
  <c r="AD221" i="2"/>
  <c r="AC221" i="2"/>
  <c r="AB221" i="2"/>
  <c r="AA221" i="2"/>
  <c r="Z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I220" i="2"/>
  <c r="AH220" i="2"/>
  <c r="AG220" i="2"/>
  <c r="AF220" i="2"/>
  <c r="AE220" i="2"/>
  <c r="AD220" i="2"/>
  <c r="AC220" i="2"/>
  <c r="AB220" i="2"/>
  <c r="AA220" i="2"/>
  <c r="Z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I219" i="2"/>
  <c r="AH219" i="2"/>
  <c r="AG219" i="2"/>
  <c r="AF219" i="2"/>
  <c r="AE219" i="2"/>
  <c r="AD219" i="2"/>
  <c r="AC219" i="2"/>
  <c r="AB219" i="2"/>
  <c r="AA219" i="2"/>
  <c r="Z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I218" i="2"/>
  <c r="AH218" i="2"/>
  <c r="AG218" i="2"/>
  <c r="AF218" i="2"/>
  <c r="AE218" i="2"/>
  <c r="AD218" i="2"/>
  <c r="AC218" i="2"/>
  <c r="AB218" i="2"/>
  <c r="AA218" i="2"/>
  <c r="Z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I217" i="2"/>
  <c r="AH217" i="2"/>
  <c r="AG217" i="2"/>
  <c r="AF217" i="2"/>
  <c r="AE217" i="2"/>
  <c r="AD217" i="2"/>
  <c r="AC217" i="2"/>
  <c r="AB217" i="2"/>
  <c r="AA217" i="2"/>
  <c r="Z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I216" i="2"/>
  <c r="AH216" i="2"/>
  <c r="AG216" i="2"/>
  <c r="AF216" i="2"/>
  <c r="AE216" i="2"/>
  <c r="AD216" i="2"/>
  <c r="AC216" i="2"/>
  <c r="AB216" i="2"/>
  <c r="AA216" i="2"/>
  <c r="Z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I215" i="2"/>
  <c r="AA215" i="2"/>
  <c r="Z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I214" i="2"/>
  <c r="AA214" i="2"/>
  <c r="Z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I213" i="2"/>
  <c r="AA213" i="2"/>
  <c r="Z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I212" i="2"/>
  <c r="AH212" i="2"/>
  <c r="AG212" i="2"/>
  <c r="AF212" i="2"/>
  <c r="AE212" i="2"/>
  <c r="AD212" i="2"/>
  <c r="AC212" i="2"/>
  <c r="AB212" i="2"/>
  <c r="AA212" i="2"/>
  <c r="Z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I211" i="2"/>
  <c r="AH211" i="2"/>
  <c r="AG211" i="2"/>
  <c r="AF211" i="2"/>
  <c r="AE211" i="2"/>
  <c r="AD211" i="2"/>
  <c r="AC211" i="2"/>
  <c r="AB211" i="2"/>
  <c r="AA211" i="2"/>
  <c r="Z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I210" i="2"/>
  <c r="AH210" i="2"/>
  <c r="AG210" i="2"/>
  <c r="AF210" i="2"/>
  <c r="AE210" i="2"/>
  <c r="AD210" i="2"/>
  <c r="AC210" i="2"/>
  <c r="AB210" i="2"/>
  <c r="AA210" i="2"/>
  <c r="Z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I209" i="2"/>
  <c r="AH209" i="2"/>
  <c r="AG209" i="2"/>
  <c r="AF209" i="2"/>
  <c r="AE209" i="2"/>
  <c r="AD209" i="2"/>
  <c r="AC209" i="2"/>
  <c r="AB209" i="2"/>
  <c r="AA209" i="2"/>
  <c r="Z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I208" i="2"/>
  <c r="AH208" i="2"/>
  <c r="AG208" i="2"/>
  <c r="AF208" i="2"/>
  <c r="AE208" i="2"/>
  <c r="AD208" i="2"/>
  <c r="AC208" i="2"/>
  <c r="AB208" i="2"/>
  <c r="AA208" i="2"/>
  <c r="Z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I207" i="2"/>
  <c r="AH207" i="2"/>
  <c r="AG207" i="2"/>
  <c r="AF207" i="2"/>
  <c r="AE207" i="2"/>
  <c r="AD207" i="2"/>
  <c r="AC207" i="2"/>
  <c r="AB207" i="2"/>
  <c r="AA207" i="2"/>
  <c r="Z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I206" i="2"/>
  <c r="AH206" i="2"/>
  <c r="AG206" i="2"/>
  <c r="AF206" i="2"/>
  <c r="AE206" i="2"/>
  <c r="AD206" i="2"/>
  <c r="AC206" i="2"/>
  <c r="AB206" i="2"/>
  <c r="AA206" i="2"/>
  <c r="Z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I205" i="2"/>
  <c r="AH205" i="2"/>
  <c r="AG205" i="2"/>
  <c r="AF205" i="2"/>
  <c r="AE205" i="2"/>
  <c r="AD205" i="2"/>
  <c r="AC205" i="2"/>
  <c r="AB205" i="2"/>
  <c r="AA205" i="2"/>
  <c r="Z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I204" i="2"/>
  <c r="AA204" i="2"/>
  <c r="Z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I203" i="2"/>
  <c r="AH203" i="2"/>
  <c r="AG203" i="2"/>
  <c r="AF203" i="2"/>
  <c r="AE203" i="2"/>
  <c r="AD203" i="2"/>
  <c r="AC203" i="2"/>
  <c r="AB203" i="2"/>
  <c r="AA203" i="2"/>
  <c r="Z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I202" i="2"/>
  <c r="AH202" i="2"/>
  <c r="AG202" i="2"/>
  <c r="AF202" i="2"/>
  <c r="AE202" i="2"/>
  <c r="AD202" i="2"/>
  <c r="AC202" i="2"/>
  <c r="AB202" i="2"/>
  <c r="AA202" i="2"/>
  <c r="Z202" i="2"/>
  <c r="U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I201" i="2"/>
  <c r="AA201" i="2"/>
  <c r="Z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I200" i="2"/>
  <c r="AA200" i="2"/>
  <c r="Z200" i="2"/>
  <c r="U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I199" i="2"/>
  <c r="AH199" i="2"/>
  <c r="AG199" i="2"/>
  <c r="AF199" i="2"/>
  <c r="AE199" i="2"/>
  <c r="AD199" i="2"/>
  <c r="AC199" i="2"/>
  <c r="AB199" i="2"/>
  <c r="AA199" i="2"/>
  <c r="Z199" i="2"/>
  <c r="U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I198" i="2"/>
  <c r="AH198" i="2"/>
  <c r="AG198" i="2"/>
  <c r="AF198" i="2"/>
  <c r="AE198" i="2"/>
  <c r="AD198" i="2"/>
  <c r="AC198" i="2"/>
  <c r="AB198" i="2"/>
  <c r="AA198" i="2"/>
  <c r="Z198" i="2"/>
  <c r="U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I197" i="2"/>
  <c r="AH197" i="2"/>
  <c r="AG197" i="2"/>
  <c r="AF197" i="2"/>
  <c r="AE197" i="2"/>
  <c r="AD197" i="2"/>
  <c r="AC197" i="2"/>
  <c r="AB197" i="2"/>
  <c r="AA197" i="2"/>
  <c r="Z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I196" i="2"/>
  <c r="AH196" i="2"/>
  <c r="AG196" i="2"/>
  <c r="AF196" i="2"/>
  <c r="AE196" i="2"/>
  <c r="AD196" i="2"/>
  <c r="AC196" i="2"/>
  <c r="AB196" i="2"/>
  <c r="AA196" i="2"/>
  <c r="Z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I195" i="2"/>
  <c r="AH195" i="2"/>
  <c r="AG195" i="2"/>
  <c r="AF195" i="2"/>
  <c r="AE195" i="2"/>
  <c r="AD195" i="2"/>
  <c r="AC195" i="2"/>
  <c r="AB195" i="2"/>
  <c r="AA195" i="2"/>
  <c r="Z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I194" i="2"/>
  <c r="AH194" i="2"/>
  <c r="AG194" i="2"/>
  <c r="AF194" i="2"/>
  <c r="AE194" i="2"/>
  <c r="AD194" i="2"/>
  <c r="AC194" i="2"/>
  <c r="AB194" i="2"/>
  <c r="AA194" i="2"/>
  <c r="Z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I193" i="2"/>
  <c r="AH193" i="2"/>
  <c r="AG193" i="2"/>
  <c r="AF193" i="2"/>
  <c r="AE193" i="2"/>
  <c r="AD193" i="2"/>
  <c r="AC193" i="2"/>
  <c r="AB193" i="2"/>
  <c r="AA193" i="2"/>
  <c r="Z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I192" i="2"/>
  <c r="AH192" i="2"/>
  <c r="AG192" i="2"/>
  <c r="AF192" i="2"/>
  <c r="AE192" i="2"/>
  <c r="AD192" i="2"/>
  <c r="AC192" i="2"/>
  <c r="AB192" i="2"/>
  <c r="AA192" i="2"/>
  <c r="Z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I191" i="2"/>
  <c r="AA191" i="2"/>
  <c r="Z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I190" i="2"/>
  <c r="AH190" i="2"/>
  <c r="AG190" i="2"/>
  <c r="AF190" i="2"/>
  <c r="AE190" i="2"/>
  <c r="AD190" i="2"/>
  <c r="AC190" i="2"/>
  <c r="AB190" i="2"/>
  <c r="AA190" i="2"/>
  <c r="Z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I189" i="2"/>
  <c r="AH189" i="2"/>
  <c r="AG189" i="2"/>
  <c r="AF189" i="2"/>
  <c r="AE189" i="2"/>
  <c r="AD189" i="2"/>
  <c r="AC189" i="2"/>
  <c r="AB189" i="2"/>
  <c r="AA189" i="2"/>
  <c r="Z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I188" i="2"/>
  <c r="AH188" i="2"/>
  <c r="AG188" i="2"/>
  <c r="AF188" i="2"/>
  <c r="AE188" i="2"/>
  <c r="AD188" i="2"/>
  <c r="AC188" i="2"/>
  <c r="AB188" i="2"/>
  <c r="AA188" i="2"/>
  <c r="Z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I187" i="2"/>
  <c r="AH187" i="2"/>
  <c r="AG187" i="2"/>
  <c r="AF187" i="2"/>
  <c r="AE187" i="2"/>
  <c r="AD187" i="2"/>
  <c r="AC187" i="2"/>
  <c r="AB187" i="2"/>
  <c r="AA187" i="2"/>
  <c r="Z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I186" i="2"/>
  <c r="AH186" i="2"/>
  <c r="AG186" i="2"/>
  <c r="AF186" i="2"/>
  <c r="AE186" i="2"/>
  <c r="AD186" i="2"/>
  <c r="AC186" i="2"/>
  <c r="AB186" i="2"/>
  <c r="AA186" i="2"/>
  <c r="Z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I185" i="2"/>
  <c r="AH185" i="2"/>
  <c r="AG185" i="2"/>
  <c r="AF185" i="2"/>
  <c r="AE185" i="2"/>
  <c r="AD185" i="2"/>
  <c r="AC185" i="2"/>
  <c r="AB185" i="2"/>
  <c r="AA185" i="2"/>
  <c r="Z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I184" i="2"/>
  <c r="AH184" i="2"/>
  <c r="AG184" i="2"/>
  <c r="AF184" i="2"/>
  <c r="AE184" i="2"/>
  <c r="AD184" i="2"/>
  <c r="AC184" i="2"/>
  <c r="AB184" i="2"/>
  <c r="AA184" i="2"/>
  <c r="Z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I183" i="2"/>
  <c r="AH183" i="2"/>
  <c r="AG183" i="2"/>
  <c r="AF183" i="2"/>
  <c r="AE183" i="2"/>
  <c r="AD183" i="2"/>
  <c r="AC183" i="2"/>
  <c r="AB183" i="2"/>
  <c r="AA183" i="2"/>
  <c r="Z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I182" i="2"/>
  <c r="AH182" i="2"/>
  <c r="AG182" i="2"/>
  <c r="AF182" i="2"/>
  <c r="AE182" i="2"/>
  <c r="AD182" i="2"/>
  <c r="AC182" i="2"/>
  <c r="AB182" i="2"/>
  <c r="AA182" i="2"/>
  <c r="Z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I181" i="2"/>
  <c r="AH181" i="2"/>
  <c r="AG181" i="2"/>
  <c r="AF181" i="2"/>
  <c r="AE181" i="2"/>
  <c r="AD181" i="2"/>
  <c r="AC181" i="2"/>
  <c r="AB181" i="2"/>
  <c r="AA181" i="2"/>
  <c r="Z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I180" i="2"/>
  <c r="AH180" i="2"/>
  <c r="AG180" i="2"/>
  <c r="AF180" i="2"/>
  <c r="AE180" i="2"/>
  <c r="AD180" i="2"/>
  <c r="AC180" i="2"/>
  <c r="AB180" i="2"/>
  <c r="AA180" i="2"/>
  <c r="Z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I179" i="2"/>
  <c r="AH179" i="2"/>
  <c r="AG179" i="2"/>
  <c r="AF179" i="2"/>
  <c r="AE179" i="2"/>
  <c r="AD179" i="2"/>
  <c r="AC179" i="2"/>
  <c r="AB179" i="2"/>
  <c r="AA179" i="2"/>
  <c r="Z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I178" i="2"/>
  <c r="AH178" i="2"/>
  <c r="AG178" i="2"/>
  <c r="AF178" i="2"/>
  <c r="AE178" i="2"/>
  <c r="AD178" i="2"/>
  <c r="AC178" i="2"/>
  <c r="AB178" i="2"/>
  <c r="AA178" i="2"/>
  <c r="Z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I177" i="2"/>
  <c r="AH177" i="2"/>
  <c r="AG177" i="2"/>
  <c r="AF177" i="2"/>
  <c r="AE177" i="2"/>
  <c r="AD177" i="2"/>
  <c r="AC177" i="2"/>
  <c r="AB177" i="2"/>
  <c r="AA177" i="2"/>
  <c r="Z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I176" i="2"/>
  <c r="AH176" i="2"/>
  <c r="AG176" i="2"/>
  <c r="AF176" i="2"/>
  <c r="AE176" i="2"/>
  <c r="AD176" i="2"/>
  <c r="AC176" i="2"/>
  <c r="AB176" i="2"/>
  <c r="AA176" i="2"/>
  <c r="Z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I175" i="2"/>
  <c r="AH175" i="2"/>
  <c r="AG175" i="2"/>
  <c r="AF175" i="2"/>
  <c r="AE175" i="2"/>
  <c r="AD175" i="2"/>
  <c r="AC175" i="2"/>
  <c r="AB175" i="2"/>
  <c r="AA175" i="2"/>
  <c r="Z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I174" i="2"/>
  <c r="AH174" i="2"/>
  <c r="AG174" i="2"/>
  <c r="AF174" i="2"/>
  <c r="AE174" i="2"/>
  <c r="AD174" i="2"/>
  <c r="AC174" i="2"/>
  <c r="AB174" i="2"/>
  <c r="AA174" i="2"/>
  <c r="Z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I173" i="2"/>
  <c r="AH173" i="2"/>
  <c r="AG173" i="2"/>
  <c r="AF173" i="2"/>
  <c r="AE173" i="2"/>
  <c r="AD173" i="2"/>
  <c r="AC173" i="2"/>
  <c r="AB173" i="2"/>
  <c r="AA173" i="2"/>
  <c r="Z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I172" i="2"/>
  <c r="AH172" i="2"/>
  <c r="AG172" i="2"/>
  <c r="AF172" i="2"/>
  <c r="AE172" i="2"/>
  <c r="AD172" i="2"/>
  <c r="AC172" i="2"/>
  <c r="AB172" i="2"/>
  <c r="AA172" i="2"/>
  <c r="Z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I171" i="2"/>
  <c r="AH171" i="2"/>
  <c r="AG171" i="2"/>
  <c r="AF171" i="2"/>
  <c r="AE171" i="2"/>
  <c r="AD171" i="2"/>
  <c r="AC171" i="2"/>
  <c r="AB171" i="2"/>
  <c r="AA171" i="2"/>
  <c r="Z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I170" i="2"/>
  <c r="AH170" i="2"/>
  <c r="AG170" i="2"/>
  <c r="AF170" i="2"/>
  <c r="AE170" i="2"/>
  <c r="AD170" i="2"/>
  <c r="AC170" i="2"/>
  <c r="AB170" i="2"/>
  <c r="AA170" i="2"/>
  <c r="Z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I169" i="2"/>
  <c r="AH169" i="2"/>
  <c r="AG169" i="2"/>
  <c r="AF169" i="2"/>
  <c r="AE169" i="2"/>
  <c r="AD169" i="2"/>
  <c r="AC169" i="2"/>
  <c r="AB169" i="2"/>
  <c r="AA169" i="2"/>
  <c r="Z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I168" i="2"/>
  <c r="AH168" i="2"/>
  <c r="AG168" i="2"/>
  <c r="AF168" i="2"/>
  <c r="AE168" i="2"/>
  <c r="AD168" i="2"/>
  <c r="AC168" i="2"/>
  <c r="AB168" i="2"/>
  <c r="AA168" i="2"/>
  <c r="Z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I167" i="2"/>
  <c r="AH167" i="2"/>
  <c r="AG167" i="2"/>
  <c r="AF167" i="2"/>
  <c r="AE167" i="2"/>
  <c r="AD167" i="2"/>
  <c r="AC167" i="2"/>
  <c r="AB167" i="2"/>
  <c r="AA167" i="2"/>
  <c r="Z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I166" i="2"/>
  <c r="AH166" i="2"/>
  <c r="AG166" i="2"/>
  <c r="AF166" i="2"/>
  <c r="AE166" i="2"/>
  <c r="AD166" i="2"/>
  <c r="AC166" i="2"/>
  <c r="AB166" i="2"/>
  <c r="AA166" i="2"/>
  <c r="Z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I165" i="2"/>
  <c r="AH165" i="2"/>
  <c r="AG165" i="2"/>
  <c r="AF165" i="2"/>
  <c r="AE165" i="2"/>
  <c r="AD165" i="2"/>
  <c r="AC165" i="2"/>
  <c r="AB165" i="2"/>
  <c r="AA165" i="2"/>
  <c r="Z165" i="2"/>
  <c r="U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I164" i="2"/>
  <c r="AH164" i="2"/>
  <c r="AG164" i="2"/>
  <c r="AF164" i="2"/>
  <c r="AE164" i="2"/>
  <c r="AD164" i="2"/>
  <c r="AC164" i="2"/>
  <c r="AB164" i="2"/>
  <c r="AA164" i="2"/>
  <c r="Z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I163" i="2"/>
  <c r="AH163" i="2"/>
  <c r="AG163" i="2"/>
  <c r="AF163" i="2"/>
  <c r="AE163" i="2"/>
  <c r="AD163" i="2"/>
  <c r="AC163" i="2"/>
  <c r="AB163" i="2"/>
  <c r="AA163" i="2"/>
  <c r="Z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I162" i="2"/>
  <c r="AH162" i="2"/>
  <c r="AG162" i="2"/>
  <c r="AF162" i="2"/>
  <c r="AE162" i="2"/>
  <c r="AD162" i="2"/>
  <c r="AC162" i="2"/>
  <c r="AB162" i="2"/>
  <c r="AA162" i="2"/>
  <c r="Z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I161" i="2"/>
  <c r="AH161" i="2"/>
  <c r="AG161" i="2"/>
  <c r="AF161" i="2"/>
  <c r="AE161" i="2"/>
  <c r="AD161" i="2"/>
  <c r="AC161" i="2"/>
  <c r="AB161" i="2"/>
  <c r="AA161" i="2"/>
  <c r="Z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I160" i="2"/>
  <c r="AH160" i="2"/>
  <c r="AG160" i="2"/>
  <c r="AF160" i="2"/>
  <c r="AE160" i="2"/>
  <c r="AD160" i="2"/>
  <c r="AC160" i="2"/>
  <c r="AB160" i="2"/>
  <c r="AA160" i="2"/>
  <c r="Z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I159" i="2"/>
  <c r="AH159" i="2"/>
  <c r="AG159" i="2"/>
  <c r="AF159" i="2"/>
  <c r="AE159" i="2"/>
  <c r="AD159" i="2"/>
  <c r="AC159" i="2"/>
  <c r="AB159" i="2"/>
  <c r="AA159" i="2"/>
  <c r="Z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I158" i="2"/>
  <c r="AH158" i="2"/>
  <c r="AG158" i="2"/>
  <c r="AF158" i="2"/>
  <c r="AE158" i="2"/>
  <c r="AD158" i="2"/>
  <c r="AC158" i="2"/>
  <c r="AB158" i="2"/>
  <c r="AA158" i="2"/>
  <c r="Z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I157" i="2"/>
  <c r="AH157" i="2"/>
  <c r="AG157" i="2"/>
  <c r="AF157" i="2"/>
  <c r="AE157" i="2"/>
  <c r="AD157" i="2"/>
  <c r="AC157" i="2"/>
  <c r="AB157" i="2"/>
  <c r="AA157" i="2"/>
  <c r="Z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I156" i="2"/>
  <c r="AH156" i="2"/>
  <c r="AG156" i="2"/>
  <c r="AF156" i="2"/>
  <c r="AE156" i="2"/>
  <c r="AD156" i="2"/>
  <c r="AC156" i="2"/>
  <c r="AB156" i="2"/>
  <c r="AA156" i="2"/>
  <c r="Z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I155" i="2"/>
  <c r="AH155" i="2"/>
  <c r="AG155" i="2"/>
  <c r="AF155" i="2"/>
  <c r="AE155" i="2"/>
  <c r="AD155" i="2"/>
  <c r="AC155" i="2"/>
  <c r="AB155" i="2"/>
  <c r="AA155" i="2"/>
  <c r="Z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I154" i="2"/>
  <c r="AH154" i="2"/>
  <c r="AG154" i="2"/>
  <c r="AF154" i="2"/>
  <c r="AE154" i="2"/>
  <c r="AD154" i="2"/>
  <c r="AC154" i="2"/>
  <c r="AB154" i="2"/>
  <c r="AA154" i="2"/>
  <c r="Z154" i="2"/>
  <c r="U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I153" i="2"/>
  <c r="AH153" i="2"/>
  <c r="AG153" i="2"/>
  <c r="AF153" i="2"/>
  <c r="AE153" i="2"/>
  <c r="AD153" i="2"/>
  <c r="AC153" i="2"/>
  <c r="AB153" i="2"/>
  <c r="AA153" i="2"/>
  <c r="Z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I152" i="2"/>
  <c r="AH152" i="2"/>
  <c r="AG152" i="2"/>
  <c r="AF152" i="2"/>
  <c r="AE152" i="2"/>
  <c r="AD152" i="2"/>
  <c r="AC152" i="2"/>
  <c r="AB152" i="2"/>
  <c r="AA152" i="2"/>
  <c r="Z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I151" i="2"/>
  <c r="AH151" i="2"/>
  <c r="AG151" i="2"/>
  <c r="AF151" i="2"/>
  <c r="AE151" i="2"/>
  <c r="AD151" i="2"/>
  <c r="AC151" i="2"/>
  <c r="AB151" i="2"/>
  <c r="AA151" i="2"/>
  <c r="Z151" i="2"/>
  <c r="U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I150" i="2"/>
  <c r="AH150" i="2"/>
  <c r="AG150" i="2"/>
  <c r="AF150" i="2"/>
  <c r="AE150" i="2"/>
  <c r="AD150" i="2"/>
  <c r="AC150" i="2"/>
  <c r="AB150" i="2"/>
  <c r="AA150" i="2"/>
  <c r="Z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I149" i="2"/>
  <c r="AH149" i="2"/>
  <c r="AG149" i="2"/>
  <c r="AF149" i="2"/>
  <c r="AE149" i="2"/>
  <c r="AD149" i="2"/>
  <c r="AC149" i="2"/>
  <c r="AB149" i="2"/>
  <c r="AA149" i="2"/>
  <c r="Z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I148" i="2"/>
  <c r="AH148" i="2"/>
  <c r="AG148" i="2"/>
  <c r="AF148" i="2"/>
  <c r="AE148" i="2"/>
  <c r="AD148" i="2"/>
  <c r="AC148" i="2"/>
  <c r="AB148" i="2"/>
  <c r="AA148" i="2"/>
  <c r="Z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I147" i="2"/>
  <c r="AH147" i="2"/>
  <c r="AG147" i="2"/>
  <c r="AF147" i="2"/>
  <c r="AE147" i="2"/>
  <c r="AD147" i="2"/>
  <c r="AC147" i="2"/>
  <c r="AB147" i="2"/>
  <c r="AA147" i="2"/>
  <c r="Z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I146" i="2"/>
  <c r="AH146" i="2"/>
  <c r="AG146" i="2"/>
  <c r="AF146" i="2"/>
  <c r="AE146" i="2"/>
  <c r="AD146" i="2"/>
  <c r="AC146" i="2"/>
  <c r="AB146" i="2"/>
  <c r="AA146" i="2"/>
  <c r="Z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I145" i="2"/>
  <c r="AH145" i="2"/>
  <c r="AG145" i="2"/>
  <c r="AF145" i="2"/>
  <c r="AE145" i="2"/>
  <c r="AD145" i="2"/>
  <c r="AC145" i="2"/>
  <c r="AB145" i="2"/>
  <c r="AA145" i="2"/>
  <c r="Z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I144" i="2"/>
  <c r="AH144" i="2"/>
  <c r="AG144" i="2"/>
  <c r="AF144" i="2"/>
  <c r="AE144" i="2"/>
  <c r="AD144" i="2"/>
  <c r="AC144" i="2"/>
  <c r="AB144" i="2"/>
  <c r="AA144" i="2"/>
  <c r="Z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I143" i="2"/>
  <c r="AH143" i="2"/>
  <c r="AG143" i="2"/>
  <c r="AF143" i="2"/>
  <c r="AE143" i="2"/>
  <c r="AD143" i="2"/>
  <c r="AC143" i="2"/>
  <c r="AB143" i="2"/>
  <c r="AA143" i="2"/>
  <c r="Z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I142" i="2"/>
  <c r="AH142" i="2"/>
  <c r="AG142" i="2"/>
  <c r="AF142" i="2"/>
  <c r="AE142" i="2"/>
  <c r="AD142" i="2"/>
  <c r="AC142" i="2"/>
  <c r="AB142" i="2"/>
  <c r="AA142" i="2"/>
  <c r="Z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I141" i="2"/>
  <c r="AH141" i="2"/>
  <c r="AG141" i="2"/>
  <c r="AF141" i="2"/>
  <c r="AE141" i="2"/>
  <c r="AD141" i="2"/>
  <c r="AC141" i="2"/>
  <c r="AB141" i="2"/>
  <c r="AA141" i="2"/>
  <c r="Z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I140" i="2"/>
  <c r="AH140" i="2"/>
  <c r="AG140" i="2"/>
  <c r="AF140" i="2"/>
  <c r="AE140" i="2"/>
  <c r="AD140" i="2"/>
  <c r="AC140" i="2"/>
  <c r="AB140" i="2"/>
  <c r="AA140" i="2"/>
  <c r="Z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I139" i="2"/>
  <c r="AH139" i="2"/>
  <c r="AG139" i="2"/>
  <c r="AF139" i="2"/>
  <c r="AE139" i="2"/>
  <c r="AD139" i="2"/>
  <c r="AC139" i="2"/>
  <c r="AB139" i="2"/>
  <c r="AA139" i="2"/>
  <c r="Z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I138" i="2"/>
  <c r="AH138" i="2"/>
  <c r="AG138" i="2"/>
  <c r="AF138" i="2"/>
  <c r="AE138" i="2"/>
  <c r="AD138" i="2"/>
  <c r="AC138" i="2"/>
  <c r="AB138" i="2"/>
  <c r="AA138" i="2"/>
  <c r="Z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I137" i="2"/>
  <c r="AH137" i="2"/>
  <c r="AG137" i="2"/>
  <c r="AF137" i="2"/>
  <c r="AE137" i="2"/>
  <c r="AD137" i="2"/>
  <c r="AC137" i="2"/>
  <c r="AB137" i="2"/>
  <c r="AA137" i="2"/>
  <c r="Z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I136" i="2"/>
  <c r="AA136" i="2"/>
  <c r="Z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I135" i="2"/>
  <c r="AA135" i="2"/>
  <c r="Z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I134" i="2"/>
  <c r="AA134" i="2"/>
  <c r="Z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I133" i="2"/>
  <c r="AH133" i="2"/>
  <c r="AG133" i="2"/>
  <c r="AF133" i="2"/>
  <c r="AE133" i="2"/>
  <c r="AD133" i="2"/>
  <c r="AC133" i="2"/>
  <c r="AB133" i="2"/>
  <c r="AA133" i="2"/>
  <c r="Z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I132" i="2"/>
  <c r="AH132" i="2"/>
  <c r="AG132" i="2"/>
  <c r="AF132" i="2"/>
  <c r="AE132" i="2"/>
  <c r="AD132" i="2"/>
  <c r="AC132" i="2"/>
  <c r="AB132" i="2"/>
  <c r="AA132" i="2"/>
  <c r="Z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I131" i="2"/>
  <c r="AA131" i="2"/>
  <c r="Z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I130" i="2"/>
  <c r="AA130" i="2"/>
  <c r="Z130" i="2"/>
  <c r="U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I129" i="2"/>
  <c r="AA129" i="2"/>
  <c r="Z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I128" i="2"/>
  <c r="AA128" i="2"/>
  <c r="Z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I127" i="2"/>
  <c r="AA127" i="2"/>
  <c r="Z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I126" i="2"/>
  <c r="AH126" i="2"/>
  <c r="AG126" i="2"/>
  <c r="AF126" i="2"/>
  <c r="AE126" i="2"/>
  <c r="AD126" i="2"/>
  <c r="AC126" i="2"/>
  <c r="AB126" i="2"/>
  <c r="AA126" i="2"/>
  <c r="Z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I125" i="2"/>
  <c r="AH125" i="2"/>
  <c r="AG125" i="2"/>
  <c r="AF125" i="2"/>
  <c r="AE125" i="2"/>
  <c r="AD125" i="2"/>
  <c r="AC125" i="2"/>
  <c r="AB125" i="2"/>
  <c r="AA125" i="2"/>
  <c r="Z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I124" i="2"/>
  <c r="AH124" i="2"/>
  <c r="AG124" i="2"/>
  <c r="AF124" i="2"/>
  <c r="AE124" i="2"/>
  <c r="AD124" i="2"/>
  <c r="AC124" i="2"/>
  <c r="AB124" i="2"/>
  <c r="AA124" i="2"/>
  <c r="Z124" i="2"/>
  <c r="U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I123" i="2"/>
  <c r="AH123" i="2"/>
  <c r="AG123" i="2"/>
  <c r="AF123" i="2"/>
  <c r="AE123" i="2"/>
  <c r="AD123" i="2"/>
  <c r="AC123" i="2"/>
  <c r="AB123" i="2"/>
  <c r="AA123" i="2"/>
  <c r="Z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I122" i="2"/>
  <c r="AH122" i="2"/>
  <c r="AG122" i="2"/>
  <c r="AF122" i="2"/>
  <c r="AE122" i="2"/>
  <c r="AD122" i="2"/>
  <c r="AC122" i="2"/>
  <c r="AB122" i="2"/>
  <c r="AA122" i="2"/>
  <c r="Z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I121" i="2"/>
  <c r="AA121" i="2"/>
  <c r="Z121" i="2"/>
  <c r="U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I120" i="2"/>
  <c r="AH120" i="2"/>
  <c r="AG120" i="2"/>
  <c r="AF120" i="2"/>
  <c r="AE120" i="2"/>
  <c r="AD120" i="2"/>
  <c r="AC120" i="2"/>
  <c r="AB120" i="2"/>
  <c r="AA120" i="2"/>
  <c r="Z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I119" i="2"/>
  <c r="AA119" i="2"/>
  <c r="Z119" i="2"/>
  <c r="U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I118" i="2"/>
  <c r="AA118" i="2"/>
  <c r="Z118" i="2"/>
  <c r="U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I117" i="2"/>
  <c r="AH117" i="2"/>
  <c r="AG117" i="2"/>
  <c r="AF117" i="2"/>
  <c r="AE117" i="2"/>
  <c r="AD117" i="2"/>
  <c r="AC117" i="2"/>
  <c r="AB117" i="2"/>
  <c r="AA117" i="2"/>
  <c r="Z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I116" i="2"/>
  <c r="AH116" i="2"/>
  <c r="AG116" i="2"/>
  <c r="AF116" i="2"/>
  <c r="AE116" i="2"/>
  <c r="AD116" i="2"/>
  <c r="AC116" i="2"/>
  <c r="AB116" i="2"/>
  <c r="AA116" i="2"/>
  <c r="Z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I115" i="2"/>
  <c r="AA115" i="2"/>
  <c r="Z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I114" i="2"/>
  <c r="AH114" i="2"/>
  <c r="AG114" i="2"/>
  <c r="AF114" i="2"/>
  <c r="AE114" i="2"/>
  <c r="AD114" i="2"/>
  <c r="AC114" i="2"/>
  <c r="AB114" i="2"/>
  <c r="AA114" i="2"/>
  <c r="Z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I113" i="2"/>
  <c r="AA113" i="2"/>
  <c r="Z113" i="2"/>
  <c r="U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I112" i="2"/>
  <c r="AA112" i="2"/>
  <c r="Z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I111" i="2"/>
  <c r="AH111" i="2"/>
  <c r="AG111" i="2"/>
  <c r="AF111" i="2"/>
  <c r="AE111" i="2"/>
  <c r="AD111" i="2"/>
  <c r="AC111" i="2"/>
  <c r="AB111" i="2"/>
  <c r="AA111" i="2"/>
  <c r="Z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I110" i="2"/>
  <c r="AH110" i="2"/>
  <c r="AG110" i="2"/>
  <c r="AF110" i="2"/>
  <c r="AE110" i="2"/>
  <c r="AD110" i="2"/>
  <c r="AC110" i="2"/>
  <c r="AB110" i="2"/>
  <c r="AA110" i="2"/>
  <c r="Z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I109" i="2"/>
  <c r="AA109" i="2"/>
  <c r="Z109" i="2"/>
  <c r="U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I108" i="2"/>
  <c r="AH108" i="2"/>
  <c r="AG108" i="2"/>
  <c r="AF108" i="2"/>
  <c r="AE108" i="2"/>
  <c r="AD108" i="2"/>
  <c r="AC108" i="2"/>
  <c r="AB108" i="2"/>
  <c r="AA108" i="2"/>
  <c r="Z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I107" i="2"/>
  <c r="AH107" i="2"/>
  <c r="AG107" i="2"/>
  <c r="AF107" i="2"/>
  <c r="AE107" i="2"/>
  <c r="AD107" i="2"/>
  <c r="AC107" i="2"/>
  <c r="AB107" i="2"/>
  <c r="AA107" i="2"/>
  <c r="Z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I106" i="2"/>
  <c r="AA106" i="2"/>
  <c r="Z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I105" i="2"/>
  <c r="AH105" i="2"/>
  <c r="AG105" i="2"/>
  <c r="AF105" i="2"/>
  <c r="AE105" i="2"/>
  <c r="AD105" i="2"/>
  <c r="AC105" i="2"/>
  <c r="AB105" i="2"/>
  <c r="AA105" i="2"/>
  <c r="Z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I104" i="2"/>
  <c r="AA104" i="2"/>
  <c r="Z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I103" i="2"/>
  <c r="AH103" i="2"/>
  <c r="AG103" i="2"/>
  <c r="AF103" i="2"/>
  <c r="AE103" i="2"/>
  <c r="AD103" i="2"/>
  <c r="AC103" i="2"/>
  <c r="AB103" i="2"/>
  <c r="AA103" i="2"/>
  <c r="Z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I102" i="2"/>
  <c r="AA102" i="2"/>
  <c r="Z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I101" i="2"/>
  <c r="AH101" i="2"/>
  <c r="AG101" i="2"/>
  <c r="AF101" i="2"/>
  <c r="AE101" i="2"/>
  <c r="AD101" i="2"/>
  <c r="AC101" i="2"/>
  <c r="AB101" i="2"/>
  <c r="AA101" i="2"/>
  <c r="Z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I100" i="2"/>
  <c r="AH100" i="2"/>
  <c r="AG100" i="2"/>
  <c r="AF100" i="2"/>
  <c r="AE100" i="2"/>
  <c r="AD100" i="2"/>
  <c r="AC100" i="2"/>
  <c r="AB100" i="2"/>
  <c r="AA100" i="2"/>
  <c r="Z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I99" i="2"/>
  <c r="AA99" i="2"/>
  <c r="Z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I98" i="2"/>
  <c r="AA98" i="2"/>
  <c r="Z98" i="2"/>
  <c r="U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I97" i="2"/>
  <c r="AH97" i="2"/>
  <c r="AG97" i="2"/>
  <c r="AF97" i="2"/>
  <c r="AE97" i="2"/>
  <c r="AD97" i="2"/>
  <c r="AC97" i="2"/>
  <c r="AB97" i="2"/>
  <c r="AA97" i="2"/>
  <c r="Z97" i="2"/>
  <c r="U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I96" i="2"/>
  <c r="AH96" i="2"/>
  <c r="AG96" i="2"/>
  <c r="AF96" i="2"/>
  <c r="AE96" i="2"/>
  <c r="AD96" i="2"/>
  <c r="AC96" i="2"/>
  <c r="AB96" i="2"/>
  <c r="AA96" i="2"/>
  <c r="Z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I95" i="2"/>
  <c r="AH95" i="2"/>
  <c r="AG95" i="2"/>
  <c r="AF95" i="2"/>
  <c r="AE95" i="2"/>
  <c r="AD95" i="2"/>
  <c r="AC95" i="2"/>
  <c r="AB95" i="2"/>
  <c r="AA95" i="2"/>
  <c r="Z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I94" i="2"/>
  <c r="AH94" i="2"/>
  <c r="AG94" i="2"/>
  <c r="AF94" i="2"/>
  <c r="AE94" i="2"/>
  <c r="AD94" i="2"/>
  <c r="AC94" i="2"/>
  <c r="AB94" i="2"/>
  <c r="AA94" i="2"/>
  <c r="Z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I93" i="2"/>
  <c r="AH93" i="2"/>
  <c r="AG93" i="2"/>
  <c r="AF93" i="2"/>
  <c r="AE93" i="2"/>
  <c r="AD93" i="2"/>
  <c r="AC93" i="2"/>
  <c r="AB93" i="2"/>
  <c r="AA93" i="2"/>
  <c r="Z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I92" i="2"/>
  <c r="AA92" i="2"/>
  <c r="Z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I91" i="2"/>
  <c r="AA91" i="2"/>
  <c r="Z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I90" i="2"/>
  <c r="AA90" i="2"/>
  <c r="Z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I89" i="2"/>
  <c r="AA89" i="2"/>
  <c r="Z89" i="2"/>
  <c r="U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I88" i="2"/>
  <c r="AA88" i="2"/>
  <c r="Z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I87" i="2"/>
  <c r="AA87" i="2"/>
  <c r="Z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I86" i="2"/>
  <c r="AA86" i="2"/>
  <c r="Z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I85" i="2"/>
  <c r="AA85" i="2"/>
  <c r="Z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I84" i="2"/>
  <c r="AA84" i="2"/>
  <c r="Z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I83" i="2"/>
  <c r="AA83" i="2"/>
  <c r="Z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I82" i="2"/>
  <c r="AA82" i="2"/>
  <c r="Z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I81" i="2"/>
  <c r="AA81" i="2"/>
  <c r="Z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I80" i="2"/>
  <c r="AA80" i="2"/>
  <c r="Z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I79" i="2"/>
  <c r="AA79" i="2"/>
  <c r="Z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I78" i="2"/>
  <c r="AH78" i="2"/>
  <c r="AG78" i="2"/>
  <c r="AF78" i="2"/>
  <c r="AE78" i="2"/>
  <c r="AD78" i="2"/>
  <c r="AC78" i="2"/>
  <c r="AB78" i="2"/>
  <c r="AA78" i="2"/>
  <c r="Z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I77" i="2"/>
  <c r="AH77" i="2"/>
  <c r="AG77" i="2"/>
  <c r="AF77" i="2"/>
  <c r="AE77" i="2"/>
  <c r="AD77" i="2"/>
  <c r="AC77" i="2"/>
  <c r="AB77" i="2"/>
  <c r="AA77" i="2"/>
  <c r="Z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I76" i="2"/>
  <c r="AH76" i="2"/>
  <c r="AG76" i="2"/>
  <c r="AF76" i="2"/>
  <c r="AE76" i="2"/>
  <c r="AD76" i="2"/>
  <c r="AC76" i="2"/>
  <c r="AB76" i="2"/>
  <c r="AA76" i="2"/>
  <c r="Z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I75" i="2"/>
  <c r="AH75" i="2"/>
  <c r="AG75" i="2"/>
  <c r="AF75" i="2"/>
  <c r="AE75" i="2"/>
  <c r="AD75" i="2"/>
  <c r="AC75" i="2"/>
  <c r="AB75" i="2"/>
  <c r="AA75" i="2"/>
  <c r="Z75" i="2"/>
  <c r="U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I74" i="2"/>
  <c r="AH74" i="2"/>
  <c r="AG74" i="2"/>
  <c r="AF74" i="2"/>
  <c r="AE74" i="2"/>
  <c r="AD74" i="2"/>
  <c r="AC74" i="2"/>
  <c r="AB74" i="2"/>
  <c r="AA74" i="2"/>
  <c r="Z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I73" i="2"/>
  <c r="AH73" i="2"/>
  <c r="AG73" i="2"/>
  <c r="AF73" i="2"/>
  <c r="AE73" i="2"/>
  <c r="AD73" i="2"/>
  <c r="AC73" i="2"/>
  <c r="AB73" i="2"/>
  <c r="AA73" i="2"/>
  <c r="Z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I72" i="2"/>
  <c r="AH72" i="2"/>
  <c r="AG72" i="2"/>
  <c r="AF72" i="2"/>
  <c r="AE72" i="2"/>
  <c r="AD72" i="2"/>
  <c r="AC72" i="2"/>
  <c r="AB72" i="2"/>
  <c r="AA72" i="2"/>
  <c r="Z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I71" i="2"/>
  <c r="AA71" i="2"/>
  <c r="Z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I70" i="2"/>
  <c r="AA70" i="2"/>
  <c r="Z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I69" i="2"/>
  <c r="AH69" i="2"/>
  <c r="AG69" i="2"/>
  <c r="AF69" i="2"/>
  <c r="AE69" i="2"/>
  <c r="AD69" i="2"/>
  <c r="AC69" i="2"/>
  <c r="AB69" i="2"/>
  <c r="AA69" i="2"/>
  <c r="Z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I68" i="2"/>
  <c r="AA68" i="2"/>
  <c r="Z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I67" i="2"/>
  <c r="AH67" i="2"/>
  <c r="AG67" i="2"/>
  <c r="AF67" i="2"/>
  <c r="AE67" i="2"/>
  <c r="AD67" i="2"/>
  <c r="AC67" i="2"/>
  <c r="AB67" i="2"/>
  <c r="AA67" i="2"/>
  <c r="Z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I66" i="2"/>
  <c r="AA66" i="2"/>
  <c r="Z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I65" i="2"/>
  <c r="AH65" i="2"/>
  <c r="AG65" i="2"/>
  <c r="AF65" i="2"/>
  <c r="AE65" i="2"/>
  <c r="AD65" i="2"/>
  <c r="AC65" i="2"/>
  <c r="AB65" i="2"/>
  <c r="AA65" i="2"/>
  <c r="Z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I64" i="2"/>
  <c r="AH64" i="2"/>
  <c r="AG64" i="2"/>
  <c r="AF64" i="2"/>
  <c r="AE64" i="2"/>
  <c r="AD64" i="2"/>
  <c r="AC64" i="2"/>
  <c r="AB64" i="2"/>
  <c r="AA64" i="2"/>
  <c r="Z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I63" i="2"/>
  <c r="AH63" i="2"/>
  <c r="AG63" i="2"/>
  <c r="AF63" i="2"/>
  <c r="AE63" i="2"/>
  <c r="AD63" i="2"/>
  <c r="AC63" i="2"/>
  <c r="AB63" i="2"/>
  <c r="AA63" i="2"/>
  <c r="Z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I62" i="2"/>
  <c r="AH62" i="2"/>
  <c r="AG62" i="2"/>
  <c r="AF62" i="2"/>
  <c r="AE62" i="2"/>
  <c r="AD62" i="2"/>
  <c r="AC62" i="2"/>
  <c r="AB62" i="2"/>
  <c r="AA62" i="2"/>
  <c r="Z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I61" i="2"/>
  <c r="AH61" i="2"/>
  <c r="AG61" i="2"/>
  <c r="AF61" i="2"/>
  <c r="AE61" i="2"/>
  <c r="AD61" i="2"/>
  <c r="AC61" i="2"/>
  <c r="AB61" i="2"/>
  <c r="AA61" i="2"/>
  <c r="Z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I60" i="2"/>
  <c r="AH60" i="2"/>
  <c r="AG60" i="2"/>
  <c r="AF60" i="2"/>
  <c r="AE60" i="2"/>
  <c r="AD60" i="2"/>
  <c r="AC60" i="2"/>
  <c r="AB60" i="2"/>
  <c r="AA60" i="2"/>
  <c r="Z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I59" i="2"/>
  <c r="AH59" i="2"/>
  <c r="AG59" i="2"/>
  <c r="AF59" i="2"/>
  <c r="AE59" i="2"/>
  <c r="AD59" i="2"/>
  <c r="AC59" i="2"/>
  <c r="AB59" i="2"/>
  <c r="AA59" i="2"/>
  <c r="Z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I58" i="2"/>
  <c r="AH58" i="2"/>
  <c r="AG58" i="2"/>
  <c r="AF58" i="2"/>
  <c r="AE58" i="2"/>
  <c r="AD58" i="2"/>
  <c r="AC58" i="2"/>
  <c r="AB58" i="2"/>
  <c r="AA58" i="2"/>
  <c r="Z58" i="2"/>
  <c r="U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I57" i="2"/>
  <c r="AH57" i="2"/>
  <c r="AG57" i="2"/>
  <c r="AF57" i="2"/>
  <c r="AE57" i="2"/>
  <c r="AD57" i="2"/>
  <c r="AC57" i="2"/>
  <c r="AB57" i="2"/>
  <c r="AA57" i="2"/>
  <c r="Z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I56" i="2"/>
  <c r="AH56" i="2"/>
  <c r="AG56" i="2"/>
  <c r="AF56" i="2"/>
  <c r="AE56" i="2"/>
  <c r="AD56" i="2"/>
  <c r="AC56" i="2"/>
  <c r="AB56" i="2"/>
  <c r="AA56" i="2"/>
  <c r="Z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I55" i="2"/>
  <c r="AH55" i="2"/>
  <c r="AG55" i="2"/>
  <c r="AF55" i="2"/>
  <c r="AE55" i="2"/>
  <c r="AD55" i="2"/>
  <c r="AC55" i="2"/>
  <c r="AB55" i="2"/>
  <c r="AA55" i="2"/>
  <c r="Z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I54" i="2"/>
  <c r="AH54" i="2"/>
  <c r="AG54" i="2"/>
  <c r="AF54" i="2"/>
  <c r="AE54" i="2"/>
  <c r="AD54" i="2"/>
  <c r="AC54" i="2"/>
  <c r="AB54" i="2"/>
  <c r="AA54" i="2"/>
  <c r="Z54" i="2"/>
  <c r="U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I53" i="2"/>
  <c r="AH53" i="2"/>
  <c r="AG53" i="2"/>
  <c r="AF53" i="2"/>
  <c r="AE53" i="2"/>
  <c r="AD53" i="2"/>
  <c r="AC53" i="2"/>
  <c r="AB53" i="2"/>
  <c r="AA53" i="2"/>
  <c r="Z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I52" i="2"/>
  <c r="AH52" i="2"/>
  <c r="AG52" i="2"/>
  <c r="AF52" i="2"/>
  <c r="AE52" i="2"/>
  <c r="AD52" i="2"/>
  <c r="AC52" i="2"/>
  <c r="AB52" i="2"/>
  <c r="AA52" i="2"/>
  <c r="Z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I51" i="2"/>
  <c r="AH51" i="2"/>
  <c r="AG51" i="2"/>
  <c r="AF51" i="2"/>
  <c r="AE51" i="2"/>
  <c r="AD51" i="2"/>
  <c r="AC51" i="2"/>
  <c r="AB51" i="2"/>
  <c r="AA51" i="2"/>
  <c r="Z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I50" i="2"/>
  <c r="AH50" i="2"/>
  <c r="AG50" i="2"/>
  <c r="AF50" i="2"/>
  <c r="AE50" i="2"/>
  <c r="AD50" i="2"/>
  <c r="AC50" i="2"/>
  <c r="AB50" i="2"/>
  <c r="AA50" i="2"/>
  <c r="Z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I49" i="2"/>
  <c r="AH49" i="2"/>
  <c r="AG49" i="2"/>
  <c r="AF49" i="2"/>
  <c r="AE49" i="2"/>
  <c r="AD49" i="2"/>
  <c r="AC49" i="2"/>
  <c r="AB49" i="2"/>
  <c r="AA49" i="2"/>
  <c r="Z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I48" i="2"/>
  <c r="AH48" i="2"/>
  <c r="AG48" i="2"/>
  <c r="AF48" i="2"/>
  <c r="AE48" i="2"/>
  <c r="AD48" i="2"/>
  <c r="AC48" i="2"/>
  <c r="AB48" i="2"/>
  <c r="AA48" i="2"/>
  <c r="Z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I47" i="2"/>
  <c r="AH47" i="2"/>
  <c r="AG47" i="2"/>
  <c r="AF47" i="2"/>
  <c r="AE47" i="2"/>
  <c r="AD47" i="2"/>
  <c r="AC47" i="2"/>
  <c r="AB47" i="2"/>
  <c r="AA47" i="2"/>
  <c r="Z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I46" i="2"/>
  <c r="AH46" i="2"/>
  <c r="AG46" i="2"/>
  <c r="AF46" i="2"/>
  <c r="AE46" i="2"/>
  <c r="AD46" i="2"/>
  <c r="AC46" i="2"/>
  <c r="AB46" i="2"/>
  <c r="AA46" i="2"/>
  <c r="Z46" i="2"/>
  <c r="U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I45" i="2"/>
  <c r="AH45" i="2"/>
  <c r="AG45" i="2"/>
  <c r="AF45" i="2"/>
  <c r="AE45" i="2"/>
  <c r="AD45" i="2"/>
  <c r="AC45" i="2"/>
  <c r="AB45" i="2"/>
  <c r="AA45" i="2"/>
  <c r="Z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I44" i="2"/>
  <c r="AH44" i="2"/>
  <c r="AG44" i="2"/>
  <c r="AF44" i="2"/>
  <c r="AE44" i="2"/>
  <c r="AD44" i="2"/>
  <c r="AC44" i="2"/>
  <c r="AB44" i="2"/>
  <c r="AA44" i="2"/>
  <c r="Z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I43" i="2"/>
  <c r="AH43" i="2"/>
  <c r="AG43" i="2"/>
  <c r="AF43" i="2"/>
  <c r="AE43" i="2"/>
  <c r="AD43" i="2"/>
  <c r="AC43" i="2"/>
  <c r="AB43" i="2"/>
  <c r="AA43" i="2"/>
  <c r="Z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I42" i="2"/>
  <c r="AH42" i="2"/>
  <c r="AG42" i="2"/>
  <c r="AF42" i="2"/>
  <c r="AE42" i="2"/>
  <c r="AD42" i="2"/>
  <c r="AC42" i="2"/>
  <c r="AB42" i="2"/>
  <c r="AA42" i="2"/>
  <c r="Z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I41" i="2"/>
  <c r="AH41" i="2"/>
  <c r="AG41" i="2"/>
  <c r="AF41" i="2"/>
  <c r="AE41" i="2"/>
  <c r="AD41" i="2"/>
  <c r="AC41" i="2"/>
  <c r="AB41" i="2"/>
  <c r="AA41" i="2"/>
  <c r="Z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I40" i="2"/>
  <c r="AH40" i="2"/>
  <c r="AG40" i="2"/>
  <c r="AF40" i="2"/>
  <c r="AE40" i="2"/>
  <c r="AD40" i="2"/>
  <c r="AC40" i="2"/>
  <c r="AB40" i="2"/>
  <c r="AA40" i="2"/>
  <c r="Z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I39" i="2"/>
  <c r="AH39" i="2"/>
  <c r="AG39" i="2"/>
  <c r="AF39" i="2"/>
  <c r="AE39" i="2"/>
  <c r="AD39" i="2"/>
  <c r="AC39" i="2"/>
  <c r="AB39" i="2"/>
  <c r="AA39" i="2"/>
  <c r="Z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I38" i="2"/>
  <c r="AH38" i="2"/>
  <c r="AG38" i="2"/>
  <c r="AF38" i="2"/>
  <c r="AE38" i="2"/>
  <c r="AD38" i="2"/>
  <c r="AC38" i="2"/>
  <c r="AB38" i="2"/>
  <c r="AA38" i="2"/>
  <c r="Z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I37" i="2"/>
  <c r="AH37" i="2"/>
  <c r="AG37" i="2"/>
  <c r="AF37" i="2"/>
  <c r="AE37" i="2"/>
  <c r="AD37" i="2"/>
  <c r="AC37" i="2"/>
  <c r="AB37" i="2"/>
  <c r="AA37" i="2"/>
  <c r="Z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I36" i="2"/>
  <c r="AH36" i="2"/>
  <c r="AG36" i="2"/>
  <c r="AF36" i="2"/>
  <c r="AE36" i="2"/>
  <c r="AD36" i="2"/>
  <c r="AC36" i="2"/>
  <c r="AB36" i="2"/>
  <c r="AA36" i="2"/>
  <c r="Z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I35" i="2"/>
  <c r="AH35" i="2"/>
  <c r="AG35" i="2"/>
  <c r="AF35" i="2"/>
  <c r="AE35" i="2"/>
  <c r="AD35" i="2"/>
  <c r="AC35" i="2"/>
  <c r="AB35" i="2"/>
  <c r="AA35" i="2"/>
  <c r="Z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I34" i="2"/>
  <c r="AH34" i="2"/>
  <c r="AG34" i="2"/>
  <c r="AF34" i="2"/>
  <c r="AE34" i="2"/>
  <c r="AD34" i="2"/>
  <c r="AC34" i="2"/>
  <c r="AB34" i="2"/>
  <c r="AA34" i="2"/>
  <c r="Z34" i="2"/>
  <c r="U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I33" i="2"/>
  <c r="AH33" i="2"/>
  <c r="AG33" i="2"/>
  <c r="AF33" i="2"/>
  <c r="AE33" i="2"/>
  <c r="AD33" i="2"/>
  <c r="AC33" i="2"/>
  <c r="AB33" i="2"/>
  <c r="AA33" i="2"/>
  <c r="Z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I32" i="2"/>
  <c r="AH32" i="2"/>
  <c r="AG32" i="2"/>
  <c r="AF32" i="2"/>
  <c r="AE32" i="2"/>
  <c r="AD32" i="2"/>
  <c r="AC32" i="2"/>
  <c r="AB32" i="2"/>
  <c r="AA32" i="2"/>
  <c r="Z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I31" i="2"/>
  <c r="AH31" i="2"/>
  <c r="AG31" i="2"/>
  <c r="AF31" i="2"/>
  <c r="AE31" i="2"/>
  <c r="AD31" i="2"/>
  <c r="AC31" i="2"/>
  <c r="AB31" i="2"/>
  <c r="AA31" i="2"/>
  <c r="Z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I30" i="2"/>
  <c r="AH30" i="2"/>
  <c r="AG30" i="2"/>
  <c r="AF30" i="2"/>
  <c r="AE30" i="2"/>
  <c r="AD30" i="2"/>
  <c r="AC30" i="2"/>
  <c r="AB30" i="2"/>
  <c r="AA30" i="2"/>
  <c r="Z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I29" i="2"/>
  <c r="AH29" i="2"/>
  <c r="AG29" i="2"/>
  <c r="AF29" i="2"/>
  <c r="AE29" i="2"/>
  <c r="AD29" i="2"/>
  <c r="AC29" i="2"/>
  <c r="AB29" i="2"/>
  <c r="AA29" i="2"/>
  <c r="Z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I28" i="2"/>
  <c r="AH28" i="2"/>
  <c r="AG28" i="2"/>
  <c r="AF28" i="2"/>
  <c r="AE28" i="2"/>
  <c r="AD28" i="2"/>
  <c r="AC28" i="2"/>
  <c r="AB28" i="2"/>
  <c r="AA28" i="2"/>
  <c r="Z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I27" i="2"/>
  <c r="AH27" i="2"/>
  <c r="AG27" i="2"/>
  <c r="AF27" i="2"/>
  <c r="AE27" i="2"/>
  <c r="AD27" i="2"/>
  <c r="AC27" i="2"/>
  <c r="AB27" i="2"/>
  <c r="AA27" i="2"/>
  <c r="Z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I26" i="2"/>
  <c r="AH26" i="2"/>
  <c r="AG26" i="2"/>
  <c r="AF26" i="2"/>
  <c r="AE26" i="2"/>
  <c r="AD26" i="2"/>
  <c r="AC26" i="2"/>
  <c r="AB26" i="2"/>
  <c r="AA26" i="2"/>
  <c r="Z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I25" i="2"/>
  <c r="AH25" i="2"/>
  <c r="AG25" i="2"/>
  <c r="AF25" i="2"/>
  <c r="AE25" i="2"/>
  <c r="AD25" i="2"/>
  <c r="AC25" i="2"/>
  <c r="AB25" i="2"/>
  <c r="AA25" i="2"/>
  <c r="Z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I24" i="2"/>
  <c r="AH24" i="2"/>
  <c r="AG24" i="2"/>
  <c r="AF24" i="2"/>
  <c r="AE24" i="2"/>
  <c r="AD24" i="2"/>
  <c r="AC24" i="2"/>
  <c r="AB24" i="2"/>
  <c r="AA24" i="2"/>
  <c r="Z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I23" i="2"/>
  <c r="AH23" i="2"/>
  <c r="AG23" i="2"/>
  <c r="AF23" i="2"/>
  <c r="AE23" i="2"/>
  <c r="AD23" i="2"/>
  <c r="AC23" i="2"/>
  <c r="AB23" i="2"/>
  <c r="AA23" i="2"/>
  <c r="Z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I22" i="2"/>
  <c r="AH22" i="2"/>
  <c r="AG22" i="2"/>
  <c r="AF22" i="2"/>
  <c r="AE22" i="2"/>
  <c r="AD22" i="2"/>
  <c r="AC22" i="2"/>
  <c r="AB22" i="2"/>
  <c r="AA22" i="2"/>
  <c r="Z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I21" i="2"/>
  <c r="AH21" i="2"/>
  <c r="AG21" i="2"/>
  <c r="AF21" i="2"/>
  <c r="AE21" i="2"/>
  <c r="AD21" i="2"/>
  <c r="AC21" i="2"/>
  <c r="AB21" i="2"/>
  <c r="AA21" i="2"/>
  <c r="Z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I20" i="2"/>
  <c r="AH20" i="2"/>
  <c r="AG20" i="2"/>
  <c r="AF20" i="2"/>
  <c r="AE20" i="2"/>
  <c r="AD20" i="2"/>
  <c r="AC20" i="2"/>
  <c r="AB20" i="2"/>
  <c r="AA20" i="2"/>
  <c r="Z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I19" i="2"/>
  <c r="AH19" i="2"/>
  <c r="AG19" i="2"/>
  <c r="AF19" i="2"/>
  <c r="AE19" i="2"/>
  <c r="AD19" i="2"/>
  <c r="AC19" i="2"/>
  <c r="AB19" i="2"/>
  <c r="AA19" i="2"/>
  <c r="Z19" i="2"/>
  <c r="U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I18" i="2"/>
  <c r="AH18" i="2"/>
  <c r="AG18" i="2"/>
  <c r="AF18" i="2"/>
  <c r="AE18" i="2"/>
  <c r="AD18" i="2"/>
  <c r="AC18" i="2"/>
  <c r="AB18" i="2"/>
  <c r="AA18" i="2"/>
  <c r="Z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I17" i="2"/>
  <c r="AH17" i="2"/>
  <c r="AG17" i="2"/>
  <c r="AF17" i="2"/>
  <c r="AE17" i="2"/>
  <c r="AD17" i="2"/>
  <c r="AC17" i="2"/>
  <c r="AB17" i="2"/>
  <c r="AA17" i="2"/>
  <c r="Z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I16" i="2"/>
  <c r="AH16" i="2"/>
  <c r="AG16" i="2"/>
  <c r="AF16" i="2"/>
  <c r="AE16" i="2"/>
  <c r="AD16" i="2"/>
  <c r="AC16" i="2"/>
  <c r="AB16" i="2"/>
  <c r="AA16" i="2"/>
  <c r="Z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I15" i="2"/>
  <c r="AH15" i="2"/>
  <c r="AG15" i="2"/>
  <c r="AF15" i="2"/>
  <c r="AE15" i="2"/>
  <c r="AD15" i="2"/>
  <c r="AC15" i="2"/>
  <c r="AB15" i="2"/>
  <c r="AA15" i="2"/>
  <c r="Z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I14" i="2"/>
  <c r="AH14" i="2"/>
  <c r="AG14" i="2"/>
  <c r="AF14" i="2"/>
  <c r="AE14" i="2"/>
  <c r="AD14" i="2"/>
  <c r="AC14" i="2"/>
  <c r="AB14" i="2"/>
  <c r="AA14" i="2"/>
  <c r="Z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I13" i="2"/>
  <c r="AH13" i="2"/>
  <c r="AG13" i="2"/>
  <c r="AF13" i="2"/>
  <c r="AE13" i="2"/>
  <c r="AD13" i="2"/>
  <c r="AC13" i="2"/>
  <c r="AB13" i="2"/>
  <c r="AA13" i="2"/>
  <c r="Z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I12" i="2"/>
  <c r="AH12" i="2"/>
  <c r="AG12" i="2"/>
  <c r="AF12" i="2"/>
  <c r="AE12" i="2"/>
  <c r="AD12" i="2"/>
  <c r="AC12" i="2"/>
  <c r="AB12" i="2"/>
  <c r="AA12" i="2"/>
  <c r="Z12" i="2"/>
  <c r="U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I11" i="2"/>
  <c r="AH11" i="2"/>
  <c r="AG11" i="2"/>
  <c r="AF11" i="2"/>
  <c r="AE11" i="2"/>
  <c r="AD11" i="2"/>
  <c r="AC11" i="2"/>
  <c r="AB11" i="2"/>
  <c r="AA11" i="2"/>
  <c r="Z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I10" i="2"/>
  <c r="AH10" i="2"/>
  <c r="AG10" i="2"/>
  <c r="AF10" i="2"/>
  <c r="AE10" i="2"/>
  <c r="AD10" i="2"/>
  <c r="AC10" i="2"/>
  <c r="AB10" i="2"/>
  <c r="AA10" i="2"/>
  <c r="Z10" i="2"/>
  <c r="U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I9" i="2"/>
  <c r="AH9" i="2"/>
  <c r="AG9" i="2"/>
  <c r="AF9" i="2"/>
  <c r="AE9" i="2"/>
  <c r="AD9" i="2"/>
  <c r="AC9" i="2"/>
  <c r="AB9" i="2"/>
  <c r="AA9" i="2"/>
  <c r="Z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I8" i="2"/>
  <c r="AH8" i="2"/>
  <c r="AG8" i="2"/>
  <c r="AF8" i="2"/>
  <c r="AE8" i="2"/>
  <c r="AD8" i="2"/>
  <c r="AC8" i="2"/>
  <c r="AB8" i="2"/>
  <c r="AA8" i="2"/>
  <c r="Z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I7" i="2"/>
  <c r="AH7" i="2"/>
  <c r="AG7" i="2"/>
  <c r="AF7" i="2"/>
  <c r="AE7" i="2"/>
  <c r="AD7" i="2"/>
  <c r="AC7" i="2"/>
  <c r="AB7" i="2"/>
  <c r="AA7" i="2"/>
  <c r="Z7" i="2"/>
  <c r="U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I6" i="2"/>
  <c r="AH6" i="2"/>
  <c r="AG6" i="2"/>
  <c r="AF6" i="2"/>
  <c r="AE6" i="2"/>
  <c r="AD6" i="2"/>
  <c r="AC6" i="2"/>
  <c r="AB6" i="2"/>
  <c r="AA6" i="2"/>
  <c r="Z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I5" i="2"/>
  <c r="AH5" i="2"/>
  <c r="AG5" i="2"/>
  <c r="AF5" i="2"/>
  <c r="AE5" i="2"/>
  <c r="AD5" i="2"/>
  <c r="AC5" i="2"/>
  <c r="AB5" i="2"/>
  <c r="AA5" i="2"/>
  <c r="Z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I4" i="2"/>
  <c r="AH4" i="2"/>
  <c r="AG4" i="2"/>
  <c r="AF4" i="2"/>
  <c r="AE4" i="2"/>
  <c r="AD4" i="2"/>
  <c r="AC4" i="2"/>
  <c r="AB4" i="2"/>
  <c r="AA4" i="2"/>
  <c r="Z4" i="2"/>
  <c r="U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<sst xmlns="http://schemas.openxmlformats.org/spreadsheetml/2006/main" count="283" uniqueCount="178">
  <si>
    <t>Дислокация</t>
  </si>
  <si>
    <t>Состояние</t>
  </si>
  <si>
    <t>Плановые ремонты</t>
  </si>
  <si>
    <t>Пробег</t>
  </si>
  <si>
    <t>ВУ-23</t>
  </si>
  <si>
    <t>ВУ-36</t>
  </si>
  <si>
    <t>№
пп</t>
  </si>
  <si>
    <t>Компания</t>
  </si>
  <si>
    <t>Арендодатель</t>
  </si>
  <si>
    <t>Вагон</t>
  </si>
  <si>
    <t>РПС</t>
  </si>
  <si>
    <t>Код груза</t>
  </si>
  <si>
    <t>Груз</t>
  </si>
  <si>
    <t>Вес</t>
  </si>
  <si>
    <t>Грузопол</t>
  </si>
  <si>
    <t>Индекс поезда</t>
  </si>
  <si>
    <t>код ст. опер.</t>
  </si>
  <si>
    <t>Станция операции</t>
  </si>
  <si>
    <t>Дата время</t>
  </si>
  <si>
    <t>Опер</t>
  </si>
  <si>
    <t>код ст. назнач.</t>
  </si>
  <si>
    <t>Станция назначения</t>
  </si>
  <si>
    <t>Код ст. отпр.</t>
  </si>
  <si>
    <t>Станция отправления</t>
  </si>
  <si>
    <t>Дата отправления</t>
  </si>
  <si>
    <t>Гротпр</t>
  </si>
  <si>
    <t>Дата</t>
  </si>
  <si>
    <t>Текущий</t>
  </si>
  <si>
    <t>Осталось</t>
  </si>
  <si>
    <t>Обновленно</t>
  </si>
  <si>
    <t>Собственник вагона</t>
  </si>
  <si>
    <t>Модель</t>
  </si>
  <si>
    <t>Дорога</t>
  </si>
  <si>
    <t>Станция</t>
  </si>
  <si>
    <t>Дата и время</t>
  </si>
  <si>
    <t>Неисправность</t>
  </si>
  <si>
    <t>Проблем с производительностью в MS Excel</t>
  </si>
  <si>
    <t>1. Заходим в файл Дислокация в Google Sheets по ссылке https://docs.google.com/spreadsheets/d/1nvt2kZB_VQV8Q8rHjfoYradT2sL_rzrkwEpTO6rWyTw/edit#gid=315911869</t>
  </si>
  <si>
    <r>
      <t xml:space="preserve">2. Переименновуем лист </t>
    </r>
    <r>
      <rPr>
        <b/>
        <sz val="10"/>
        <rFont val="Arial"/>
      </rPr>
      <t>Результат</t>
    </r>
    <r>
      <rPr>
        <sz val="10"/>
        <color rgb="FF000000"/>
        <rFont val="Arial"/>
      </rPr>
      <t xml:space="preserve"> в Рельзутат-Старый</t>
    </r>
  </si>
  <si>
    <r>
      <t xml:space="preserve">3. Создаем новый лист с названием </t>
    </r>
    <r>
      <rPr>
        <b/>
        <sz val="10"/>
        <rFont val="Arial"/>
      </rPr>
      <t>Результат</t>
    </r>
  </si>
  <si>
    <t>4. Копируем со старого листа шапку</t>
  </si>
  <si>
    <t>5. Формируем отчет - открываем следующую ссылку на сервере C:/uz-location/links/0 - Запросить справку - сформировать отчет и отправить на почту</t>
  </si>
  <si>
    <r>
      <t xml:space="preserve">6. Ставим фильтры - выделяем третюю строку, переходим в меню </t>
    </r>
    <r>
      <rPr>
        <b/>
        <sz val="10"/>
        <rFont val="Arial"/>
      </rPr>
      <t>Данные</t>
    </r>
    <r>
      <rPr>
        <sz val="10"/>
        <color rgb="FF000000"/>
        <rFont val="Arial"/>
      </rPr>
      <t xml:space="preserve"> - </t>
    </r>
    <r>
      <rPr>
        <b/>
        <sz val="10"/>
        <rFont val="Arial"/>
      </rPr>
      <t>Создать фильтр</t>
    </r>
  </si>
  <si>
    <t>7. Создаем правили условного форматирования на диапазон A4:D2046, формат ячеек Ваша формула - =IF(VALUE(SUBSTITUTE($AD$4:$AD$2046; "-";":")) &gt; VALUE(SUBSTITUTE($AH$4:$AH$2046; "-";":"));"Да";"Нет")="Да"</t>
  </si>
  <si>
    <t>Номер</t>
  </si>
  <si>
    <t>Почта</t>
  </si>
  <si>
    <t>Программа</t>
  </si>
  <si>
    <t>Таблица</t>
  </si>
  <si>
    <t>ДАННЫЕ О ВАГОНЕ : 52259652 (СОБСТВЕННЫЙ)</t>
  </si>
  <si>
    <t>ДАННЫЕ О ВАГОНЕ=68747518 (СОБСТВЕННЫЙ)</t>
  </si>
  <si>
    <t>АДМИНСТРАЦИЯ СОБСТ. : 22 УЗ</t>
  </si>
  <si>
    <t>АДМИНСТРАЦИЯ СОБСТ.=22 УЗ</t>
  </si>
  <si>
    <t>ПPEДПPИЯTИE : ООО "Укррос-Транс"</t>
  </si>
  <si>
    <t>ПPEДПPИЯTИE=ГП "Укрспецвагон"</t>
  </si>
  <si>
    <t>УПРАВЛЕНИЕ :</t>
  </si>
  <si>
    <t>УПРАВЛЕНИЕ=УТЛЦ</t>
  </si>
  <si>
    <t>ГОД ПОСТРОЙКИ : 1994</t>
  </si>
  <si>
    <t>ГОД ПОСТРОЙКИ=1989</t>
  </si>
  <si>
    <t>ГРУЗОПОДЪЕМНОСТЬ : 690</t>
  </si>
  <si>
    <t>ГРУЗОПОДЪЕМНОСТЬ-0=710</t>
  </si>
  <si>
    <t>ТАРА : 245</t>
  </si>
  <si>
    <t>ТАРА=213</t>
  </si>
  <si>
    <t>УСЛОВНЫЙ ТИП ВАГОНА : 5600</t>
  </si>
  <si>
    <t>УСЛОВНЫЙ ТИП ВАГОНА=0608</t>
  </si>
  <si>
    <t>ДАТА ПЛАН. РЕМОНТА : 16.12.2015 ДР</t>
  </si>
  <si>
    <t>ДАТА ПЛАН. РЕМОНТА=17.09.2016 ДР</t>
  </si>
  <si>
    <t>РОД ВАГОНА : 60 ПОЛУВАГОНЫ</t>
  </si>
  <si>
    <t>РОД ВАГОНА=68 ГЛУХОДОННЫЕ</t>
  </si>
  <si>
    <t>ПОСЛЕДНИИ ОПЕРАЦИИ :</t>
  </si>
  <si>
    <t>52259652:2337 15380+009+34630:34640 ПРОС(53) 16.10.15 22-34:000 34270 24125 4274</t>
  </si>
  <si>
    <t>52259652:2337 15380+009+34630:34630 ПРИБ(01) 16.10.15 23-01:000 34270 24125 4274</t>
  </si>
  <si>
    <t>52259652:2337 15380+009+34630:34630 РАСФ(04) 17.10.15 04-20:000 34270 24125 4274</t>
  </si>
  <si>
    <t>КОД ГРУЗА : 24125 ГЛИНА ФАРФОРОВ</t>
  </si>
  <si>
    <t>КОД ГРУЗА=42103 ВАГОНЫ ЖД СВ</t>
  </si>
  <si>
    <t>СТАНЦИЯ НАЗНАЧЕНИЯ : 34270 КАЗАТИН I</t>
  </si>
  <si>
    <t>СТАНЦИЯ НАЗНАЧЕНИЯ-0=00000</t>
  </si>
  <si>
    <t>ГРУЗОПОЛУЧАТЕЛЬ : 4274</t>
  </si>
  <si>
    <t>ГРУЗОПОЛУЧАТЕЛЬ-0=0999</t>
  </si>
  <si>
    <t>ТИП ПАРКА :</t>
  </si>
  <si>
    <t>ТИП ПАРКА=</t>
  </si>
  <si>
    <t>ДАТА ОПЕРАЦИИ : 17.10.15 04-20</t>
  </si>
  <si>
    <t>ДАТА ОПЕРАЦИИ-0=15.10.15 18-05</t>
  </si>
  <si>
    <t>СТАНЦИЯ ОПЕРАЦИИ : 34630 КОРОСТЕНЬ</t>
  </si>
  <si>
    <t>СТАНЦИЯ ОПЕРАЦИИ-0=32680 КОРЮКОВКА</t>
  </si>
  <si>
    <t>ОПЕРАЦИЯ : 04 РАСФ</t>
  </si>
  <si>
    <t>ОПЕРАЦИЯ=98 ОТОТ</t>
  </si>
  <si>
    <t>ДОРОГА ДИСЛОКАЦИИ : 32 Ю-ЗАП</t>
  </si>
  <si>
    <t>ДОРОГА ДИСЛОКАЦИИ=32 Ю-ЗАП</t>
  </si>
  <si>
    <t>ПОЕЗД : 2337 (15380-009-34630) КАЛИНКОВИЧИ - КОРОСТЕНЬ</t>
  </si>
  <si>
    <t>== БЛОК РЕЙСА =====</t>
  </si>
  <si>
    <t>ID : 13072671750181</t>
  </si>
  <si>
    <t>ID=13070428432451</t>
  </si>
  <si>
    <t>СОСТОЯНИЕ (КОНТРОЛЬ): ПОРЖНИЙ (ВКЛ)</t>
  </si>
  <si>
    <t>СОСТОЯНИЕ (КОНТРОЛЬ)=ПОРЖНИЙ (ВКЛ)</t>
  </si>
  <si>
    <t>СТАНЦИЯ ОПЕРАЦИИ : 34770 БЕРЕЖЕСТЬ</t>
  </si>
  <si>
    <t>СТАНЦИЯ ОПЕРАЦИИ-1=32510 ЧЕРНИГОВ-СЕВ</t>
  </si>
  <si>
    <t>ДАТА ОПЕРАЦИИ : 16.10.15 21-17</t>
  </si>
  <si>
    <t>ДАТА ОПЕРАЦИИ-1=14.10.15 11-30</t>
  </si>
  <si>
    <t>ГРУЗ : 24125 ГЛИНА ФАРФОРОВ</t>
  </si>
  <si>
    <t>ГРУЗ-0=25310 КИРПИЧ СИЛИКАТ</t>
  </si>
  <si>
    <t>СТАНЦИЯ НАЗНАЧЕНИЯ-1=00000</t>
  </si>
  <si>
    <t>ГРУЗООТПРАВИТЕЛЬ : 0745</t>
  </si>
  <si>
    <t>ГРУЗООТПРАВИТЕЛЬ-0=0999</t>
  </si>
  <si>
    <t>ГРУЗОПОЛУЧАТЕЛЬ-1=0999</t>
  </si>
  <si>
    <t>== ОПИСАНИЕ РЕЙСА ==</t>
  </si>
  <si>
    <t>СОСТОЯНИЕ : ЗАКРЫТЫЙ</t>
  </si>
  <si>
    <t>СОСТОЯНИЕ=ОТКРЫТЫЙ</t>
  </si>
  <si>
    <t>ТИП : ГРУЖЕНЫЙ</t>
  </si>
  <si>
    <t>ТИП=ПОРЖНИЙ</t>
  </si>
  <si>
    <t>КАЧЕСТВО : НЕТ</t>
  </si>
  <si>
    <t>КАЧЕСТВО=НЕТ</t>
  </si>
  <si>
    <t>ДАТА ПРИЕМА ГРУЗА : 16.10.15 18-35</t>
  </si>
  <si>
    <t>ДАТА ПРИЕМА ГРУЗА=14.10.15 11-30</t>
  </si>
  <si>
    <t>ОПРЕРАЦИЯ : 33 ПСНГ</t>
  </si>
  <si>
    <t>ОПРЕРАЦИЯ-0=86 ОДПВ</t>
  </si>
  <si>
    <t>ДОРОГА ПРИЕМА ГРУЗА : 13 БЕЛ</t>
  </si>
  <si>
    <t>ДОРОГА ПРИЕМА ГРУЗА-0=32 Ю-ЗАП</t>
  </si>
  <si>
    <t>СТАНЦИЯ ПРИЕМА ГРУЗА: 14050 МИНСК-ЮЖНЫЙ</t>
  </si>
  <si>
    <t>СТАНЦИЯ ПРИЕМА ГРУЗА=32510 ЧЕРНИГОВ-СЕВ</t>
  </si>
  <si>
    <t>ВЕС : 0</t>
  </si>
  <si>
    <t>ВЕС=0</t>
  </si>
  <si>
    <t>ГРУЗ-1=42103 ВАГОНЫ ЖД СВ</t>
  </si>
  <si>
    <t>ГРУЗООТПРАВИТЕЛЬ-1=0999</t>
  </si>
  <si>
    <t>ГРУЗОПОЛУЧАТЕЛЬ-2=0999</t>
  </si>
  <si>
    <t>СТАНЦИЯ НАЗНАЧЕНИЯ-2=00000</t>
  </si>
  <si>
    <t>ДОРОГА НАЗНАЧЕНИЯ : 32 Ю-ЗАП</t>
  </si>
  <si>
    <t>ДОРОГА НАЗНАЧЕНИЯ=</t>
  </si>
  <si>
    <t>СТРАНА НАЗНАЧЕНИЯ : 804 УКРАИНА</t>
  </si>
  <si>
    <t>СТРАНА НАЗНАЧЕНИЯ=000</t>
  </si>
  <si>
    <t>НАКЛАДНАЯ : 01204391</t>
  </si>
  <si>
    <t>НАКЛАДНАЯ=33771627</t>
  </si>
  <si>
    <t>ДАТА НАЧАЛА РЕЙСА : 16.10.15 18-35</t>
  </si>
  <si>
    <t>ДАТА НАЧАЛА РЕЙСА=14.10.15 11-30</t>
  </si>
  <si>
    <t>ОПРЕРАЦИЯ-1=86 ОДПВ</t>
  </si>
  <si>
    <t>СТАНЦИЯ НАЧАЛА РЕЙСА: 15380 КАЛИНКОВИЧИ</t>
  </si>
  <si>
    <t>СТАНЦИЯ НАЧАЛА РЕЙСА=32510 ЧЕРНИГОВ-СЕВ</t>
  </si>
  <si>
    <t>ДОРОГА ПРИЕМА ГРУЗА-1=32 Ю-ЗАП</t>
  </si>
  <si>
    <t>ДАТА ОКОНЧАНИЯ РЕЙСА: 16.10.15 21-17</t>
  </si>
  <si>
    <t>ДАТА ОКОНЧАНИЯ РЕЙСА=</t>
  </si>
  <si>
    <t>ОПРЕРАЦИЯ : 13 ПРМ</t>
  </si>
  <si>
    <t>ОПРЕРАЦИЯ-2=</t>
  </si>
  <si>
    <t>СТАНЦИЯ ОКОНЧАНИЯ : 34770 БЕРЕЖЕСТЬ</t>
  </si>
  <si>
    <t>СТАНЦИЯ ОКОНЧАНИЯ=</t>
  </si>
  <si>
    <t>ДОРОГА ОКОНЧАНИЯ : 13 БЕЛ</t>
  </si>
  <si>
    <t>ДОРОГА ОКОНЧАНИЯ=</t>
  </si>
  <si>
    <t>-- ИЗ ПОД ----------</t>
  </si>
  <si>
    <t>ГРУЗ-2=25310 КИРПИЧ СИЛИКАТ</t>
  </si>
  <si>
    <t>ДАТА : 16.10.15 21-17</t>
  </si>
  <si>
    <t>ДАТА=14.10.15 11-30</t>
  </si>
  <si>
    <t>СТАНЦИЯ : 34770 БЕРЕЖЕСТЬ</t>
  </si>
  <si>
    <t>СТАНЦИЯ-0=32510 ЧЕРНИГОВ-СЕВ</t>
  </si>
  <si>
    <t>== РЕМОНТЫ == :</t>
  </si>
  <si>
    <t>ДАТА ПЕРЕВОДА В НРП : 08.02.15 10-20</t>
  </si>
  <si>
    <t>ДАТА ПЕРЕВОДА В НРП=15.09.15 08-00</t>
  </si>
  <si>
    <t>ВИД РЕМОНТА : 4 ТР-2</t>
  </si>
  <si>
    <t>ВИД РЕМОНТА-0=1 ДР</t>
  </si>
  <si>
    <t>ДОРОГА : 40 ОД</t>
  </si>
  <si>
    <t>ДОРОГА-0=45 ПРИДН</t>
  </si>
  <si>
    <t>СТАНЦИЯ : 41000 ЗНАМЕНКА</t>
  </si>
  <si>
    <t>СТАНЦИЯ-1=46690 БАТУРИНСКАЯ</t>
  </si>
  <si>
    <t>ВЧД : 4183 ЭКСПЛУАТАЦИОННОЕ ВАГОННОЕ ДЕПО ЗНАМЕНКА</t>
  </si>
  <si>
    <t>ВЧД-0=0498 ВАГОННОЕ РЕМОНТНОЕ ДЕПО БАТУPИНСКАЯ</t>
  </si>
  <si>
    <t>СТАНЦИЯ НАЗНАЧЕНИЯ :</t>
  </si>
  <si>
    <t>СТАНЦИЯ НАЗНАЧЕНИЯ-3=</t>
  </si>
  <si>
    <t>НЕИСПРАВНОСТЬ : 540 НEИCПPAВНOCТЬ ЗAПOPA ЛЮКA</t>
  </si>
  <si>
    <t>НЕИСПРАВНОСТЬ=574 ДОСРОЧНАЯ ПОCТAНOВКA В ДЕПОВСКОЙ PЕМОНТ ПO ТEXНИЧЕСКОМУ COCТOЯ</t>
  </si>
  <si>
    <t>ДАТА ПЕРЕВОДА В РП : 08.02.15 14-15</t>
  </si>
  <si>
    <t>ДАТА ПЕРЕВОДА В РП=17.09.15 16-29</t>
  </si>
  <si>
    <t>ВИД РЕМОНТА-1=1 ДР</t>
  </si>
  <si>
    <t>ДОРОГА-1=45 ПРИДН</t>
  </si>
  <si>
    <t>СТАНЦИЯ-2=46690 БАТУРИНСКАЯ</t>
  </si>
  <si>
    <t>ВЧД-1=0498 ВАГОННОЕ РЕМОНТНОЕ ДЕПО БАТУPИНСКАЯ</t>
  </si>
  <si>
    <t>МОДЕЛЬ ВАГОНА: 12-757</t>
  </si>
  <si>
    <t>МОДЕЛЬ ВАГОНА=12-1592</t>
  </si>
  <si>
    <t>ГРУЗОПОДЪЕМНОСТЬ: 69</t>
  </si>
  <si>
    <t>ГРУЗОПОДЪЕМНОСТЬ-1=71</t>
  </si>
  <si>
    <t>ОБЪЕМ КУЗОВА: 85</t>
  </si>
  <si>
    <t>ОБЪЕМ КУЗОВА=83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</si>
</sst>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\ hh:mm:ss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b/>
      <sz val="10"/>
      <name val="Arial"/>
    </font>
    <font>
      <sz val="10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2" fillId="0" borderId="5" xfId="0" applyFont="1" applyBorder="1"/>
    <xf numFmtId="0" fontId="2" fillId="0" borderId="6" xfId="0" applyFont="1" applyBorder="1"/>
    <xf numFmtId="164" fontId="2" fillId="0" borderId="1" xfId="0" applyNumberFormat="1" applyFont="1" applyBorder="1" applyAlignment="1"/>
    <xf numFmtId="0" fontId="3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3" borderId="1" xfId="0" applyFont="1" applyFill="1" applyBorder="1" applyAlignment="1">
      <alignment horizontal="center"/>
    </xf>
    <xf numFmtId="16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4" fillId="4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quotePrefix="1" applyFont="1" applyAlignment="1"/>
    <xf numFmtId="0" fontId="6" fillId="0" borderId="0" xfId="0" applyFont="1" applyAlignment="1"/>
    <xf numFmtId="0" fontId="1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57"/>
  <sheetViews>
    <sheetView workbookViewId="0">
      <pane ySplit="3" topLeftCell="A4" activePane="bottomLeft" state="frozen"/>
      <selection pane="bottomLeft" activeCell="B22" sqref="B22"/>
    </sheetView>
  </sheetViews>
  <sheetFormatPr baseColWidth="10" defaultColWidth="14.5" defaultRowHeight="15.75" customHeight="1" x14ac:dyDescent="0.15"/>
  <cols>
    <col min="1" max="1" width="7" customWidth="1"/>
    <col min="2" max="2" width="20.83203125" customWidth="1"/>
    <col min="3" max="3" width="25.83203125" customWidth="1"/>
    <col min="4" max="4" width="10.6640625" customWidth="1"/>
    <col min="5" max="5" width="19.5" customWidth="1"/>
    <col min="6" max="6" width="10.6640625" customWidth="1"/>
    <col min="7" max="7" width="20.1640625" customWidth="1"/>
    <col min="8" max="8" width="5.1640625" customWidth="1"/>
    <col min="9" max="9" width="10.5" customWidth="1"/>
    <col min="10" max="10" width="54" customWidth="1"/>
    <col min="11" max="11" width="13.6640625" customWidth="1"/>
    <col min="12" max="12" width="20" customWidth="1"/>
    <col min="13" max="13" width="13.5" customWidth="1"/>
    <col min="14" max="14" width="9.33203125" customWidth="1"/>
    <col min="15" max="15" width="15.83203125" customWidth="1"/>
    <col min="16" max="16" width="22" customWidth="1"/>
    <col min="17" max="17" width="13.83203125" customWidth="1"/>
    <col min="18" max="18" width="23.5" customWidth="1"/>
    <col min="19" max="19" width="19.5" customWidth="1"/>
    <col min="20" max="20" width="8.1640625" customWidth="1"/>
    <col min="21" max="21" width="21.33203125" customWidth="1"/>
    <col min="22" max="22" width="9.83203125" customWidth="1"/>
    <col min="23" max="23" width="6.33203125" customWidth="1"/>
    <col min="24" max="24" width="10.83203125" customWidth="1"/>
    <col min="25" max="25" width="13.83203125" customWidth="1"/>
    <col min="26" max="26" width="59.33203125" customWidth="1"/>
    <col min="27" max="27" width="10.5" customWidth="1"/>
    <col min="28" max="28" width="11.33203125" customWidth="1"/>
    <col min="29" max="29" width="22.1640625" customWidth="1"/>
    <col min="30" max="30" width="14.5" customWidth="1"/>
    <col min="31" max="31" width="81" customWidth="1"/>
    <col min="32" max="32" width="11.33203125" customWidth="1"/>
    <col min="33" max="33" width="22.1640625" customWidth="1"/>
    <col min="34" max="34" width="14.5" customWidth="1"/>
    <col min="35" max="35" width="18.1640625" customWidth="1"/>
  </cols>
  <sheetData>
    <row r="1" spans="1:35" ht="15.75" customHeight="1" x14ac:dyDescent="0.15">
      <c r="A1" s="1"/>
      <c r="B1" s="2"/>
      <c r="C1" s="2"/>
      <c r="D1" s="2"/>
      <c r="E1" s="2"/>
      <c r="F1" s="38"/>
      <c r="G1" s="36"/>
      <c r="H1" s="36"/>
      <c r="I1" s="36"/>
      <c r="J1" s="35" t="s">
        <v>0</v>
      </c>
      <c r="K1" s="36"/>
      <c r="L1" s="36"/>
      <c r="M1" s="36"/>
      <c r="N1" s="37"/>
      <c r="O1" s="35" t="s">
        <v>1</v>
      </c>
      <c r="P1" s="36"/>
      <c r="Q1" s="36"/>
      <c r="R1" s="36"/>
      <c r="S1" s="36"/>
      <c r="T1" s="37"/>
      <c r="U1" s="3" t="s">
        <v>2</v>
      </c>
      <c r="V1" s="35" t="s">
        <v>3</v>
      </c>
      <c r="W1" s="36"/>
      <c r="X1" s="36"/>
      <c r="Y1" s="37"/>
      <c r="Z1" s="4"/>
      <c r="AA1" s="5"/>
      <c r="AB1" s="35" t="s">
        <v>4</v>
      </c>
      <c r="AC1" s="36"/>
      <c r="AD1" s="36"/>
      <c r="AE1" s="37"/>
      <c r="AF1" s="35" t="s">
        <v>5</v>
      </c>
      <c r="AG1" s="36"/>
      <c r="AH1" s="37"/>
      <c r="AI1" s="6"/>
    </row>
    <row r="2" spans="1:35" ht="15.75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0" t="s">
        <v>17</v>
      </c>
      <c r="M2" s="9" t="s">
        <v>18</v>
      </c>
      <c r="N2" s="9" t="s">
        <v>19</v>
      </c>
      <c r="O2" s="9" t="s">
        <v>20</v>
      </c>
      <c r="P2" s="10" t="s">
        <v>21</v>
      </c>
      <c r="Q2" s="10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1" t="s">
        <v>26</v>
      </c>
      <c r="X2" s="12" t="s">
        <v>28</v>
      </c>
      <c r="Y2" s="13" t="s">
        <v>29</v>
      </c>
      <c r="Z2" s="14" t="s">
        <v>30</v>
      </c>
      <c r="AA2" s="15" t="s">
        <v>31</v>
      </c>
      <c r="AB2" s="9" t="s">
        <v>32</v>
      </c>
      <c r="AC2" s="9" t="s">
        <v>33</v>
      </c>
      <c r="AD2" s="9" t="s">
        <v>34</v>
      </c>
      <c r="AE2" s="9" t="s">
        <v>35</v>
      </c>
      <c r="AF2" s="9" t="s">
        <v>32</v>
      </c>
      <c r="AG2" s="9" t="s">
        <v>33</v>
      </c>
      <c r="AH2" s="9" t="s">
        <v>34</v>
      </c>
      <c r="AI2" s="9" t="s">
        <v>29</v>
      </c>
    </row>
    <row r="3" spans="1:35" ht="15.75" customHeight="1" x14ac:dyDescent="0.15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6">
        <v>12</v>
      </c>
      <c r="M3" s="16">
        <v>13</v>
      </c>
      <c r="N3" s="16">
        <v>14</v>
      </c>
      <c r="O3" s="16">
        <v>15</v>
      </c>
      <c r="P3" s="16">
        <v>16</v>
      </c>
      <c r="Q3" s="16">
        <v>17</v>
      </c>
      <c r="R3" s="16">
        <v>18</v>
      </c>
      <c r="S3" s="16">
        <v>19</v>
      </c>
      <c r="T3" s="16">
        <v>20</v>
      </c>
      <c r="U3" s="16">
        <v>21</v>
      </c>
      <c r="V3" s="16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17">
        <v>35</v>
      </c>
    </row>
    <row r="4" spans="1:35" ht="13" x14ac:dyDescent="0.15">
      <c r="AI4" s="19"/>
    </row>
    <row r="5" spans="1:35" ht="13" x14ac:dyDescent="0.15">
      <c r="AI5" s="19"/>
    </row>
    <row r="6" spans="1:35" ht="13" x14ac:dyDescent="0.15">
      <c r="AI6" s="19"/>
    </row>
    <row r="7" spans="1:35" ht="13" x14ac:dyDescent="0.15">
      <c r="AI7" s="19"/>
    </row>
    <row r="8" spans="1:35" ht="13" x14ac:dyDescent="0.15">
      <c r="AI8" s="19"/>
    </row>
    <row r="9" spans="1:35" ht="13" x14ac:dyDescent="0.15">
      <c r="AI9" s="19"/>
    </row>
    <row r="10" spans="1:35" ht="13" x14ac:dyDescent="0.15">
      <c r="AI10" s="19"/>
    </row>
    <row r="11" spans="1:35" ht="13" x14ac:dyDescent="0.15">
      <c r="AI11" s="19"/>
    </row>
    <row r="12" spans="1:35" ht="13" x14ac:dyDescent="0.15">
      <c r="AI12" s="19"/>
    </row>
    <row r="13" spans="1:35" ht="13" x14ac:dyDescent="0.15">
      <c r="AI13" s="19"/>
    </row>
    <row r="14" spans="1:35" ht="13" x14ac:dyDescent="0.15">
      <c r="AI14" s="19"/>
    </row>
    <row r="15" spans="1:35" ht="13" x14ac:dyDescent="0.15">
      <c r="AI15" s="19"/>
    </row>
    <row r="16" spans="1:35" ht="13" x14ac:dyDescent="0.15">
      <c r="AI16" s="19"/>
    </row>
    <row r="17" spans="35:35" ht="13" x14ac:dyDescent="0.15">
      <c r="AI17" s="19"/>
    </row>
    <row r="18" spans="35:35" ht="13" x14ac:dyDescent="0.15">
      <c r="AI18" s="19"/>
    </row>
    <row r="19" spans="35:35" ht="13" x14ac:dyDescent="0.15">
      <c r="AI19" s="19"/>
    </row>
    <row r="20" spans="35:35" ht="13" x14ac:dyDescent="0.15">
      <c r="AI20" s="19"/>
    </row>
    <row r="21" spans="35:35" ht="13" x14ac:dyDescent="0.15">
      <c r="AI21" s="19"/>
    </row>
    <row r="22" spans="35:35" ht="13" x14ac:dyDescent="0.15">
      <c r="AI22" s="19"/>
    </row>
    <row r="23" spans="35:35" ht="13" x14ac:dyDescent="0.15">
      <c r="AI23" s="19"/>
    </row>
    <row r="24" spans="35:35" ht="13" x14ac:dyDescent="0.15">
      <c r="AI24" s="19"/>
    </row>
    <row r="25" spans="35:35" ht="13" x14ac:dyDescent="0.15">
      <c r="AI25" s="19"/>
    </row>
    <row r="26" spans="35:35" ht="13" x14ac:dyDescent="0.15">
      <c r="AI26" s="19"/>
    </row>
    <row r="27" spans="35:35" ht="13" x14ac:dyDescent="0.15">
      <c r="AI27" s="19"/>
    </row>
    <row r="28" spans="35:35" ht="13" x14ac:dyDescent="0.15">
      <c r="AI28" s="19"/>
    </row>
    <row r="29" spans="35:35" ht="13" x14ac:dyDescent="0.15">
      <c r="AI29" s="19"/>
    </row>
    <row r="30" spans="35:35" ht="13" x14ac:dyDescent="0.15">
      <c r="AI30" s="19"/>
    </row>
    <row r="31" spans="35:35" ht="13" x14ac:dyDescent="0.15">
      <c r="AI31" s="19"/>
    </row>
    <row r="32" spans="35:35" ht="13" x14ac:dyDescent="0.15">
      <c r="AI32" s="19"/>
    </row>
    <row r="33" spans="35:35" ht="13" x14ac:dyDescent="0.15">
      <c r="AI33" s="19"/>
    </row>
    <row r="34" spans="35:35" ht="13" x14ac:dyDescent="0.15">
      <c r="AI34" s="19"/>
    </row>
    <row r="35" spans="35:35" ht="13" x14ac:dyDescent="0.15">
      <c r="AI35" s="19"/>
    </row>
    <row r="36" spans="35:35" ht="13" x14ac:dyDescent="0.15">
      <c r="AI36" s="19"/>
    </row>
    <row r="37" spans="35:35" ht="13" x14ac:dyDescent="0.15">
      <c r="AI37" s="19"/>
    </row>
    <row r="38" spans="35:35" ht="13" x14ac:dyDescent="0.15">
      <c r="AI38" s="19"/>
    </row>
    <row r="39" spans="35:35" ht="13" x14ac:dyDescent="0.15">
      <c r="AI39" s="19"/>
    </row>
    <row r="40" spans="35:35" ht="13" x14ac:dyDescent="0.15">
      <c r="AI40" s="19"/>
    </row>
    <row r="41" spans="35:35" ht="13" x14ac:dyDescent="0.15">
      <c r="AI41" s="19"/>
    </row>
    <row r="42" spans="35:35" ht="13" x14ac:dyDescent="0.15">
      <c r="AI42" s="19"/>
    </row>
    <row r="43" spans="35:35" ht="13" x14ac:dyDescent="0.15">
      <c r="AI43" s="19"/>
    </row>
    <row r="44" spans="35:35" ht="13" x14ac:dyDescent="0.15">
      <c r="AI44" s="19"/>
    </row>
    <row r="45" spans="35:35" ht="13" x14ac:dyDescent="0.15">
      <c r="AI45" s="19"/>
    </row>
    <row r="46" spans="35:35" ht="13" x14ac:dyDescent="0.15">
      <c r="AI46" s="19"/>
    </row>
    <row r="47" spans="35:35" ht="13" x14ac:dyDescent="0.15">
      <c r="AI47" s="19"/>
    </row>
    <row r="48" spans="35:35" ht="13" x14ac:dyDescent="0.15">
      <c r="AI48" s="19"/>
    </row>
    <row r="49" spans="35:35" ht="13" x14ac:dyDescent="0.15">
      <c r="AI49" s="19"/>
    </row>
    <row r="50" spans="35:35" ht="13" x14ac:dyDescent="0.15">
      <c r="AI50" s="19"/>
    </row>
    <row r="51" spans="35:35" ht="13" x14ac:dyDescent="0.15">
      <c r="AI51" s="19"/>
    </row>
    <row r="52" spans="35:35" ht="13" x14ac:dyDescent="0.15">
      <c r="AI52" s="19"/>
    </row>
    <row r="53" spans="35:35" ht="13" x14ac:dyDescent="0.15">
      <c r="AI53" s="19"/>
    </row>
    <row r="54" spans="35:35" ht="13" x14ac:dyDescent="0.15">
      <c r="AI54" s="19"/>
    </row>
    <row r="55" spans="35:35" ht="13" x14ac:dyDescent="0.15">
      <c r="AI55" s="19"/>
    </row>
    <row r="56" spans="35:35" ht="13" x14ac:dyDescent="0.15">
      <c r="AI56" s="19"/>
    </row>
    <row r="57" spans="35:35" ht="13" x14ac:dyDescent="0.15">
      <c r="AI57" s="19"/>
    </row>
    <row r="58" spans="35:35" ht="13" x14ac:dyDescent="0.15">
      <c r="AI58" s="19"/>
    </row>
    <row r="59" spans="35:35" ht="13" x14ac:dyDescent="0.15">
      <c r="AI59" s="19"/>
    </row>
    <row r="60" spans="35:35" ht="13" x14ac:dyDescent="0.15">
      <c r="AI60" s="19"/>
    </row>
    <row r="61" spans="35:35" ht="13" x14ac:dyDescent="0.15">
      <c r="AI61" s="19"/>
    </row>
    <row r="62" spans="35:35" ht="13" x14ac:dyDescent="0.15">
      <c r="AI62" s="19"/>
    </row>
    <row r="63" spans="35:35" ht="13" x14ac:dyDescent="0.15">
      <c r="AI63" s="19"/>
    </row>
    <row r="64" spans="35:35" ht="13" x14ac:dyDescent="0.15">
      <c r="AI64" s="19"/>
    </row>
    <row r="65" spans="35:35" ht="13" x14ac:dyDescent="0.15">
      <c r="AI65" s="19"/>
    </row>
    <row r="66" spans="35:35" ht="13" x14ac:dyDescent="0.15">
      <c r="AI66" s="19"/>
    </row>
    <row r="67" spans="35:35" ht="13" x14ac:dyDescent="0.15">
      <c r="AI67" s="19"/>
    </row>
    <row r="68" spans="35:35" ht="13" x14ac:dyDescent="0.15">
      <c r="AI68" s="19"/>
    </row>
    <row r="69" spans="35:35" ht="13" x14ac:dyDescent="0.15">
      <c r="AI69" s="19"/>
    </row>
    <row r="70" spans="35:35" ht="13" x14ac:dyDescent="0.15">
      <c r="AI70" s="19"/>
    </row>
    <row r="71" spans="35:35" ht="13" x14ac:dyDescent="0.15">
      <c r="AI71" s="19"/>
    </row>
    <row r="72" spans="35:35" ht="13" x14ac:dyDescent="0.15">
      <c r="AI72" s="19"/>
    </row>
    <row r="73" spans="35:35" ht="13" x14ac:dyDescent="0.15">
      <c r="AI73" s="19"/>
    </row>
    <row r="74" spans="35:35" ht="13" x14ac:dyDescent="0.15">
      <c r="AI74" s="19"/>
    </row>
    <row r="75" spans="35:35" ht="13" x14ac:dyDescent="0.15">
      <c r="AI75" s="19"/>
    </row>
    <row r="76" spans="35:35" ht="13" x14ac:dyDescent="0.15">
      <c r="AI76" s="19"/>
    </row>
    <row r="77" spans="35:35" ht="13" x14ac:dyDescent="0.15">
      <c r="AI77" s="19"/>
    </row>
    <row r="78" spans="35:35" ht="13" x14ac:dyDescent="0.15">
      <c r="AI78" s="19"/>
    </row>
    <row r="79" spans="35:35" ht="13" x14ac:dyDescent="0.15">
      <c r="AI79" s="19"/>
    </row>
    <row r="80" spans="35:35" ht="13" x14ac:dyDescent="0.15">
      <c r="AI80" s="19"/>
    </row>
    <row r="81" spans="35:35" ht="13" x14ac:dyDescent="0.15">
      <c r="AI81" s="19"/>
    </row>
    <row r="82" spans="35:35" ht="13" x14ac:dyDescent="0.15">
      <c r="AI82" s="19"/>
    </row>
    <row r="83" spans="35:35" ht="13" x14ac:dyDescent="0.15">
      <c r="AI83" s="19"/>
    </row>
    <row r="84" spans="35:35" ht="13" x14ac:dyDescent="0.15">
      <c r="AI84" s="19"/>
    </row>
    <row r="85" spans="35:35" ht="13" x14ac:dyDescent="0.15">
      <c r="AI85" s="19"/>
    </row>
    <row r="86" spans="35:35" ht="13" x14ac:dyDescent="0.15">
      <c r="AI86" s="19"/>
    </row>
    <row r="87" spans="35:35" ht="13" x14ac:dyDescent="0.15">
      <c r="AI87" s="19"/>
    </row>
    <row r="88" spans="35:35" ht="13" x14ac:dyDescent="0.15">
      <c r="AI88" s="19"/>
    </row>
    <row r="89" spans="35:35" ht="13" x14ac:dyDescent="0.15">
      <c r="AI89" s="19"/>
    </row>
    <row r="90" spans="35:35" ht="13" x14ac:dyDescent="0.15">
      <c r="AI90" s="19"/>
    </row>
    <row r="91" spans="35:35" ht="13" x14ac:dyDescent="0.15">
      <c r="AI91" s="19"/>
    </row>
    <row r="92" spans="35:35" ht="13" x14ac:dyDescent="0.15">
      <c r="AI92" s="19"/>
    </row>
    <row r="93" spans="35:35" ht="13" x14ac:dyDescent="0.15">
      <c r="AI93" s="19"/>
    </row>
    <row r="94" spans="35:35" ht="13" x14ac:dyDescent="0.15">
      <c r="AI94" s="19"/>
    </row>
    <row r="95" spans="35:35" ht="13" x14ac:dyDescent="0.15">
      <c r="AI95" s="19"/>
    </row>
    <row r="96" spans="35:35" ht="13" x14ac:dyDescent="0.15">
      <c r="AI96" s="19"/>
    </row>
    <row r="97" spans="35:35" ht="13" x14ac:dyDescent="0.15">
      <c r="AI97" s="19"/>
    </row>
    <row r="98" spans="35:35" ht="13" x14ac:dyDescent="0.15">
      <c r="AI98" s="19"/>
    </row>
    <row r="99" spans="35:35" ht="13" x14ac:dyDescent="0.15">
      <c r="AI99" s="19"/>
    </row>
    <row r="100" spans="35:35" ht="13" x14ac:dyDescent="0.15">
      <c r="AI100" s="19"/>
    </row>
    <row r="101" spans="35:35" ht="13" x14ac:dyDescent="0.15">
      <c r="AI101" s="19"/>
    </row>
    <row r="102" spans="35:35" ht="13" x14ac:dyDescent="0.15">
      <c r="AI102" s="19"/>
    </row>
    <row r="103" spans="35:35" ht="13" x14ac:dyDescent="0.15">
      <c r="AI103" s="19"/>
    </row>
    <row r="104" spans="35:35" ht="13" x14ac:dyDescent="0.15">
      <c r="AI104" s="19"/>
    </row>
    <row r="105" spans="35:35" ht="13" x14ac:dyDescent="0.15">
      <c r="AI105" s="19"/>
    </row>
    <row r="106" spans="35:35" ht="13" x14ac:dyDescent="0.15">
      <c r="AI106" s="19"/>
    </row>
    <row r="107" spans="35:35" ht="13" x14ac:dyDescent="0.15">
      <c r="AI107" s="19"/>
    </row>
    <row r="108" spans="35:35" ht="13" x14ac:dyDescent="0.15">
      <c r="AI108" s="19"/>
    </row>
    <row r="109" spans="35:35" ht="13" x14ac:dyDescent="0.15">
      <c r="AI109" s="19"/>
    </row>
    <row r="110" spans="35:35" ht="13" x14ac:dyDescent="0.15">
      <c r="AI110" s="19"/>
    </row>
    <row r="111" spans="35:35" ht="13" x14ac:dyDescent="0.15">
      <c r="AI111" s="19"/>
    </row>
    <row r="112" spans="35:35" ht="13" x14ac:dyDescent="0.15">
      <c r="AI112" s="19"/>
    </row>
    <row r="113" spans="35:35" ht="13" x14ac:dyDescent="0.15">
      <c r="AI113" s="19"/>
    </row>
    <row r="114" spans="35:35" ht="13" x14ac:dyDescent="0.15">
      <c r="AI114" s="19"/>
    </row>
    <row r="115" spans="35:35" ht="13" x14ac:dyDescent="0.15">
      <c r="AI115" s="19"/>
    </row>
    <row r="116" spans="35:35" ht="13" x14ac:dyDescent="0.15">
      <c r="AI116" s="19"/>
    </row>
    <row r="117" spans="35:35" ht="13" x14ac:dyDescent="0.15">
      <c r="AI117" s="19"/>
    </row>
    <row r="118" spans="35:35" ht="13" x14ac:dyDescent="0.15">
      <c r="AI118" s="19"/>
    </row>
    <row r="119" spans="35:35" ht="13" x14ac:dyDescent="0.15">
      <c r="AI119" s="19"/>
    </row>
    <row r="120" spans="35:35" ht="13" x14ac:dyDescent="0.15">
      <c r="AI120" s="19"/>
    </row>
    <row r="121" spans="35:35" ht="13" x14ac:dyDescent="0.15">
      <c r="AI121" s="19"/>
    </row>
    <row r="122" spans="35:35" ht="13" x14ac:dyDescent="0.15">
      <c r="AI122" s="19"/>
    </row>
    <row r="123" spans="35:35" ht="13" x14ac:dyDescent="0.15">
      <c r="AI123" s="19"/>
    </row>
    <row r="124" spans="35:35" ht="13" x14ac:dyDescent="0.15">
      <c r="AI124" s="19"/>
    </row>
    <row r="125" spans="35:35" ht="13" x14ac:dyDescent="0.15">
      <c r="AI125" s="19"/>
    </row>
    <row r="126" spans="35:35" ht="13" x14ac:dyDescent="0.15">
      <c r="AI126" s="19"/>
    </row>
    <row r="127" spans="35:35" ht="13" x14ac:dyDescent="0.15">
      <c r="AI127" s="19"/>
    </row>
    <row r="128" spans="35:35" ht="13" x14ac:dyDescent="0.15">
      <c r="AI128" s="19"/>
    </row>
    <row r="129" spans="35:35" ht="13" x14ac:dyDescent="0.15">
      <c r="AI129" s="19"/>
    </row>
    <row r="130" spans="35:35" ht="13" x14ac:dyDescent="0.15">
      <c r="AI130" s="19"/>
    </row>
    <row r="131" spans="35:35" ht="13" x14ac:dyDescent="0.15">
      <c r="AI131" s="19"/>
    </row>
    <row r="132" spans="35:35" ht="13" x14ac:dyDescent="0.15">
      <c r="AI132" s="19"/>
    </row>
    <row r="133" spans="35:35" ht="13" x14ac:dyDescent="0.15">
      <c r="AI133" s="19"/>
    </row>
    <row r="134" spans="35:35" ht="13" x14ac:dyDescent="0.15">
      <c r="AI134" s="19"/>
    </row>
    <row r="135" spans="35:35" ht="13" x14ac:dyDescent="0.15">
      <c r="AI135" s="19"/>
    </row>
    <row r="136" spans="35:35" ht="13" x14ac:dyDescent="0.15">
      <c r="AI136" s="19"/>
    </row>
    <row r="137" spans="35:35" ht="13" x14ac:dyDescent="0.15">
      <c r="AI137" s="19"/>
    </row>
    <row r="138" spans="35:35" ht="13" x14ac:dyDescent="0.15">
      <c r="AI138" s="19"/>
    </row>
    <row r="139" spans="35:35" ht="13" x14ac:dyDescent="0.15">
      <c r="AI139" s="19"/>
    </row>
    <row r="140" spans="35:35" ht="13" x14ac:dyDescent="0.15">
      <c r="AI140" s="19"/>
    </row>
    <row r="141" spans="35:35" ht="13" x14ac:dyDescent="0.15">
      <c r="AI141" s="19"/>
    </row>
    <row r="142" spans="35:35" ht="13" x14ac:dyDescent="0.15">
      <c r="AI142" s="19"/>
    </row>
    <row r="143" spans="35:35" ht="13" x14ac:dyDescent="0.15">
      <c r="AI143" s="19"/>
    </row>
    <row r="144" spans="35:35" ht="13" x14ac:dyDescent="0.15">
      <c r="AI144" s="19"/>
    </row>
    <row r="145" spans="35:35" ht="13" x14ac:dyDescent="0.15">
      <c r="AI145" s="19"/>
    </row>
    <row r="146" spans="35:35" ht="13" x14ac:dyDescent="0.15">
      <c r="AI146" s="19"/>
    </row>
    <row r="147" spans="35:35" ht="13" x14ac:dyDescent="0.15">
      <c r="AI147" s="19"/>
    </row>
    <row r="148" spans="35:35" ht="13" x14ac:dyDescent="0.15">
      <c r="AI148" s="19"/>
    </row>
    <row r="149" spans="35:35" ht="13" x14ac:dyDescent="0.15">
      <c r="AI149" s="19"/>
    </row>
    <row r="150" spans="35:35" ht="13" x14ac:dyDescent="0.15">
      <c r="AI150" s="19"/>
    </row>
    <row r="151" spans="35:35" ht="13" x14ac:dyDescent="0.15">
      <c r="AI151" s="19"/>
    </row>
    <row r="152" spans="35:35" ht="13" x14ac:dyDescent="0.15">
      <c r="AI152" s="19"/>
    </row>
    <row r="153" spans="35:35" ht="13" x14ac:dyDescent="0.15">
      <c r="AI153" s="19"/>
    </row>
    <row r="154" spans="35:35" ht="13" x14ac:dyDescent="0.15">
      <c r="AI154" s="19"/>
    </row>
    <row r="155" spans="35:35" ht="13" x14ac:dyDescent="0.15">
      <c r="AI155" s="19"/>
    </row>
    <row r="156" spans="35:35" ht="13" x14ac:dyDescent="0.15">
      <c r="AI156" s="19"/>
    </row>
    <row r="157" spans="35:35" ht="13" x14ac:dyDescent="0.15">
      <c r="AI157" s="19"/>
    </row>
    <row r="158" spans="35:35" ht="13" x14ac:dyDescent="0.15">
      <c r="AI158" s="19"/>
    </row>
    <row r="159" spans="35:35" ht="13" x14ac:dyDescent="0.15">
      <c r="AI159" s="19"/>
    </row>
    <row r="160" spans="35:35" ht="13" x14ac:dyDescent="0.15">
      <c r="AI160" s="19"/>
    </row>
    <row r="161" spans="35:35" ht="13" x14ac:dyDescent="0.15">
      <c r="AI161" s="19"/>
    </row>
    <row r="162" spans="35:35" ht="13" x14ac:dyDescent="0.15">
      <c r="AI162" s="19"/>
    </row>
    <row r="163" spans="35:35" ht="13" x14ac:dyDescent="0.15">
      <c r="AI163" s="19"/>
    </row>
    <row r="164" spans="35:35" ht="13" x14ac:dyDescent="0.15">
      <c r="AI164" s="19"/>
    </row>
    <row r="165" spans="35:35" ht="13" x14ac:dyDescent="0.15">
      <c r="AI165" s="19"/>
    </row>
    <row r="166" spans="35:35" ht="13" x14ac:dyDescent="0.15">
      <c r="AI166" s="19"/>
    </row>
    <row r="167" spans="35:35" ht="13" x14ac:dyDescent="0.15">
      <c r="AI167" s="19"/>
    </row>
    <row r="168" spans="35:35" ht="13" x14ac:dyDescent="0.15">
      <c r="AI168" s="19"/>
    </row>
    <row r="169" spans="35:35" ht="13" x14ac:dyDescent="0.15">
      <c r="AI169" s="19"/>
    </row>
    <row r="170" spans="35:35" ht="13" x14ac:dyDescent="0.15">
      <c r="AI170" s="19"/>
    </row>
    <row r="171" spans="35:35" ht="13" x14ac:dyDescent="0.15">
      <c r="AI171" s="19"/>
    </row>
    <row r="172" spans="35:35" ht="13" x14ac:dyDescent="0.15">
      <c r="AI172" s="19"/>
    </row>
    <row r="173" spans="35:35" ht="13" x14ac:dyDescent="0.15">
      <c r="AI173" s="19"/>
    </row>
    <row r="174" spans="35:35" ht="13" x14ac:dyDescent="0.15">
      <c r="AI174" s="19"/>
    </row>
    <row r="175" spans="35:35" ht="13" x14ac:dyDescent="0.15">
      <c r="AI175" s="19"/>
    </row>
    <row r="176" spans="35:35" ht="13" x14ac:dyDescent="0.15">
      <c r="AI176" s="19"/>
    </row>
    <row r="177" spans="35:35" ht="13" x14ac:dyDescent="0.15">
      <c r="AI177" s="19"/>
    </row>
    <row r="178" spans="35:35" ht="13" x14ac:dyDescent="0.15">
      <c r="AI178" s="19"/>
    </row>
    <row r="179" spans="35:35" ht="13" x14ac:dyDescent="0.15">
      <c r="AI179" s="19"/>
    </row>
    <row r="180" spans="35:35" ht="13" x14ac:dyDescent="0.15">
      <c r="AI180" s="19"/>
    </row>
    <row r="181" spans="35:35" ht="13" x14ac:dyDescent="0.15">
      <c r="AI181" s="19"/>
    </row>
    <row r="182" spans="35:35" ht="13" x14ac:dyDescent="0.15">
      <c r="AI182" s="19"/>
    </row>
    <row r="183" spans="35:35" ht="13" x14ac:dyDescent="0.15">
      <c r="AI183" s="19"/>
    </row>
    <row r="184" spans="35:35" ht="13" x14ac:dyDescent="0.15">
      <c r="AI184" s="19"/>
    </row>
    <row r="185" spans="35:35" ht="13" x14ac:dyDescent="0.15">
      <c r="AI185" s="19"/>
    </row>
    <row r="186" spans="35:35" ht="13" x14ac:dyDescent="0.15">
      <c r="AI186" s="19"/>
    </row>
    <row r="187" spans="35:35" ht="13" x14ac:dyDescent="0.15">
      <c r="AI187" s="19"/>
    </row>
    <row r="188" spans="35:35" ht="13" x14ac:dyDescent="0.15">
      <c r="AI188" s="19"/>
    </row>
    <row r="189" spans="35:35" ht="13" x14ac:dyDescent="0.15">
      <c r="AI189" s="19"/>
    </row>
    <row r="190" spans="35:35" ht="13" x14ac:dyDescent="0.15">
      <c r="AI190" s="19"/>
    </row>
    <row r="191" spans="35:35" ht="13" x14ac:dyDescent="0.15">
      <c r="AI191" s="19"/>
    </row>
    <row r="192" spans="35:35" ht="13" x14ac:dyDescent="0.15">
      <c r="AI192" s="19"/>
    </row>
    <row r="193" spans="35:35" ht="13" x14ac:dyDescent="0.15">
      <c r="AI193" s="19"/>
    </row>
    <row r="194" spans="35:35" ht="13" x14ac:dyDescent="0.15">
      <c r="AI194" s="19"/>
    </row>
    <row r="195" spans="35:35" ht="13" x14ac:dyDescent="0.15">
      <c r="AI195" s="19"/>
    </row>
    <row r="196" spans="35:35" ht="13" x14ac:dyDescent="0.15">
      <c r="AI196" s="19"/>
    </row>
    <row r="197" spans="35:35" ht="13" x14ac:dyDescent="0.15">
      <c r="AI197" s="19"/>
    </row>
    <row r="198" spans="35:35" ht="13" x14ac:dyDescent="0.15">
      <c r="AI198" s="19"/>
    </row>
    <row r="199" spans="35:35" ht="13" x14ac:dyDescent="0.15">
      <c r="AI199" s="19"/>
    </row>
    <row r="200" spans="35:35" ht="13" x14ac:dyDescent="0.15">
      <c r="AI200" s="19"/>
    </row>
    <row r="201" spans="35:35" ht="13" x14ac:dyDescent="0.15">
      <c r="AI201" s="19"/>
    </row>
    <row r="202" spans="35:35" ht="13" x14ac:dyDescent="0.15">
      <c r="AI202" s="19"/>
    </row>
    <row r="203" spans="35:35" ht="13" x14ac:dyDescent="0.15">
      <c r="AI203" s="19"/>
    </row>
    <row r="204" spans="35:35" ht="13" x14ac:dyDescent="0.15">
      <c r="AI204" s="19"/>
    </row>
    <row r="205" spans="35:35" ht="13" x14ac:dyDescent="0.15">
      <c r="AI205" s="19"/>
    </row>
    <row r="206" spans="35:35" ht="13" x14ac:dyDescent="0.15">
      <c r="AI206" s="19"/>
    </row>
    <row r="207" spans="35:35" ht="13" x14ac:dyDescent="0.15">
      <c r="AI207" s="19"/>
    </row>
    <row r="208" spans="35:35" ht="13" x14ac:dyDescent="0.15">
      <c r="AI208" s="19"/>
    </row>
    <row r="209" spans="35:35" ht="13" x14ac:dyDescent="0.15">
      <c r="AI209" s="19"/>
    </row>
    <row r="210" spans="35:35" ht="13" x14ac:dyDescent="0.15">
      <c r="AI210" s="19"/>
    </row>
    <row r="211" spans="35:35" ht="13" x14ac:dyDescent="0.15">
      <c r="AI211" s="19"/>
    </row>
    <row r="212" spans="35:35" ht="13" x14ac:dyDescent="0.15">
      <c r="AI212" s="19"/>
    </row>
    <row r="213" spans="35:35" ht="13" x14ac:dyDescent="0.15">
      <c r="AI213" s="19"/>
    </row>
    <row r="214" spans="35:35" ht="13" x14ac:dyDescent="0.15">
      <c r="AI214" s="19"/>
    </row>
    <row r="215" spans="35:35" ht="13" x14ac:dyDescent="0.15">
      <c r="AI215" s="19"/>
    </row>
    <row r="216" spans="35:35" ht="13" x14ac:dyDescent="0.15">
      <c r="AI216" s="19"/>
    </row>
    <row r="217" spans="35:35" ht="13" x14ac:dyDescent="0.15">
      <c r="AI217" s="19"/>
    </row>
    <row r="218" spans="35:35" ht="13" x14ac:dyDescent="0.15">
      <c r="AI218" s="19"/>
    </row>
    <row r="219" spans="35:35" ht="13" x14ac:dyDescent="0.15">
      <c r="AI219" s="19"/>
    </row>
    <row r="220" spans="35:35" ht="13" x14ac:dyDescent="0.15">
      <c r="AI220" s="19"/>
    </row>
    <row r="221" spans="35:35" ht="13" x14ac:dyDescent="0.15">
      <c r="AI221" s="19"/>
    </row>
    <row r="222" spans="35:35" ht="13" x14ac:dyDescent="0.15">
      <c r="AI222" s="19"/>
    </row>
    <row r="223" spans="35:35" ht="13" x14ac:dyDescent="0.15">
      <c r="AI223" s="19"/>
    </row>
    <row r="224" spans="35:35" ht="13" x14ac:dyDescent="0.15">
      <c r="AI224" s="19"/>
    </row>
    <row r="225" spans="35:35" ht="13" x14ac:dyDescent="0.15">
      <c r="AI225" s="19"/>
    </row>
    <row r="226" spans="35:35" ht="13" x14ac:dyDescent="0.15">
      <c r="AI226" s="19"/>
    </row>
    <row r="227" spans="35:35" ht="13" x14ac:dyDescent="0.15">
      <c r="AI227" s="19"/>
    </row>
    <row r="228" spans="35:35" ht="13" x14ac:dyDescent="0.15">
      <c r="AI228" s="19"/>
    </row>
    <row r="229" spans="35:35" ht="13" x14ac:dyDescent="0.15">
      <c r="AI229" s="19"/>
    </row>
    <row r="230" spans="35:35" ht="13" x14ac:dyDescent="0.15">
      <c r="AI230" s="19"/>
    </row>
    <row r="231" spans="35:35" ht="13" x14ac:dyDescent="0.15">
      <c r="AI231" s="19"/>
    </row>
    <row r="232" spans="35:35" ht="13" x14ac:dyDescent="0.15">
      <c r="AI232" s="19"/>
    </row>
    <row r="233" spans="35:35" ht="13" x14ac:dyDescent="0.15">
      <c r="AI233" s="19"/>
    </row>
    <row r="234" spans="35:35" ht="13" x14ac:dyDescent="0.15">
      <c r="AI234" s="19"/>
    </row>
    <row r="235" spans="35:35" ht="13" x14ac:dyDescent="0.15">
      <c r="AI235" s="19"/>
    </row>
    <row r="236" spans="35:35" ht="13" x14ac:dyDescent="0.15">
      <c r="AI236" s="19"/>
    </row>
    <row r="237" spans="35:35" ht="13" x14ac:dyDescent="0.15">
      <c r="AI237" s="19"/>
    </row>
    <row r="238" spans="35:35" ht="13" x14ac:dyDescent="0.15">
      <c r="AI238" s="19"/>
    </row>
    <row r="239" spans="35:35" ht="13" x14ac:dyDescent="0.15">
      <c r="AI239" s="19"/>
    </row>
    <row r="240" spans="35:35" ht="13" x14ac:dyDescent="0.15">
      <c r="AI240" s="19"/>
    </row>
    <row r="241" spans="35:35" ht="13" x14ac:dyDescent="0.15">
      <c r="AI241" s="19"/>
    </row>
    <row r="242" spans="35:35" ht="13" x14ac:dyDescent="0.15">
      <c r="AI242" s="19"/>
    </row>
    <row r="243" spans="35:35" ht="13" x14ac:dyDescent="0.15">
      <c r="AI243" s="19"/>
    </row>
    <row r="244" spans="35:35" ht="13" x14ac:dyDescent="0.15">
      <c r="AI244" s="19"/>
    </row>
    <row r="245" spans="35:35" ht="13" x14ac:dyDescent="0.15">
      <c r="AI245" s="19"/>
    </row>
    <row r="246" spans="35:35" ht="13" x14ac:dyDescent="0.15">
      <c r="AI246" s="19"/>
    </row>
    <row r="247" spans="35:35" ht="13" x14ac:dyDescent="0.15">
      <c r="AI247" s="19"/>
    </row>
    <row r="248" spans="35:35" ht="13" x14ac:dyDescent="0.15">
      <c r="AI248" s="19"/>
    </row>
    <row r="249" spans="35:35" ht="13" x14ac:dyDescent="0.15">
      <c r="AI249" s="19"/>
    </row>
    <row r="250" spans="35:35" ht="13" x14ac:dyDescent="0.15">
      <c r="AI250" s="19"/>
    </row>
    <row r="251" spans="35:35" ht="13" x14ac:dyDescent="0.15">
      <c r="AI251" s="19"/>
    </row>
    <row r="252" spans="35:35" ht="13" x14ac:dyDescent="0.15">
      <c r="AI252" s="19"/>
    </row>
    <row r="253" spans="35:35" ht="13" x14ac:dyDescent="0.15">
      <c r="AI253" s="19"/>
    </row>
    <row r="254" spans="35:35" ht="13" x14ac:dyDescent="0.15">
      <c r="AI254" s="19"/>
    </row>
    <row r="255" spans="35:35" ht="13" x14ac:dyDescent="0.15">
      <c r="AI255" s="19"/>
    </row>
    <row r="256" spans="35:35" ht="13" x14ac:dyDescent="0.15">
      <c r="AI256" s="19"/>
    </row>
    <row r="257" spans="35:35" ht="13" x14ac:dyDescent="0.15">
      <c r="AI257" s="19"/>
    </row>
    <row r="258" spans="35:35" ht="13" x14ac:dyDescent="0.15">
      <c r="AI258" s="19"/>
    </row>
    <row r="259" spans="35:35" ht="13" x14ac:dyDescent="0.15">
      <c r="AI259" s="19"/>
    </row>
    <row r="260" spans="35:35" ht="13" x14ac:dyDescent="0.15">
      <c r="AI260" s="19"/>
    </row>
    <row r="261" spans="35:35" ht="13" x14ac:dyDescent="0.15">
      <c r="AI261" s="19"/>
    </row>
    <row r="262" spans="35:35" ht="13" x14ac:dyDescent="0.15">
      <c r="AI262" s="19"/>
    </row>
    <row r="263" spans="35:35" ht="13" x14ac:dyDescent="0.15">
      <c r="AI263" s="19"/>
    </row>
    <row r="264" spans="35:35" ht="13" x14ac:dyDescent="0.15">
      <c r="AI264" s="19"/>
    </row>
    <row r="265" spans="35:35" ht="13" x14ac:dyDescent="0.15">
      <c r="AI265" s="19"/>
    </row>
    <row r="266" spans="35:35" ht="13" x14ac:dyDescent="0.15">
      <c r="AI266" s="19"/>
    </row>
    <row r="267" spans="35:35" ht="13" x14ac:dyDescent="0.15">
      <c r="AI267" s="19"/>
    </row>
    <row r="268" spans="35:35" ht="13" x14ac:dyDescent="0.15">
      <c r="AI268" s="19"/>
    </row>
    <row r="269" spans="35:35" ht="13" x14ac:dyDescent="0.15">
      <c r="AI269" s="19"/>
    </row>
    <row r="270" spans="35:35" ht="13" x14ac:dyDescent="0.15">
      <c r="AI270" s="19"/>
    </row>
    <row r="271" spans="35:35" ht="13" x14ac:dyDescent="0.15">
      <c r="AI271" s="19"/>
    </row>
    <row r="272" spans="35:35" ht="13" x14ac:dyDescent="0.15">
      <c r="AI272" s="19"/>
    </row>
    <row r="273" spans="35:35" ht="13" x14ac:dyDescent="0.15">
      <c r="AI273" s="19"/>
    </row>
    <row r="274" spans="35:35" ht="13" x14ac:dyDescent="0.15">
      <c r="AI274" s="19"/>
    </row>
    <row r="275" spans="35:35" ht="13" x14ac:dyDescent="0.15">
      <c r="AI275" s="19"/>
    </row>
    <row r="276" spans="35:35" ht="13" x14ac:dyDescent="0.15">
      <c r="AI276" s="19"/>
    </row>
    <row r="277" spans="35:35" ht="13" x14ac:dyDescent="0.15">
      <c r="AI277" s="19"/>
    </row>
    <row r="278" spans="35:35" ht="13" x14ac:dyDescent="0.15">
      <c r="AI278" s="19"/>
    </row>
    <row r="279" spans="35:35" ht="13" x14ac:dyDescent="0.15">
      <c r="AI279" s="19"/>
    </row>
    <row r="280" spans="35:35" ht="13" x14ac:dyDescent="0.15">
      <c r="AI280" s="19"/>
    </row>
    <row r="281" spans="35:35" ht="13" x14ac:dyDescent="0.15">
      <c r="AI281" s="19"/>
    </row>
    <row r="282" spans="35:35" ht="13" x14ac:dyDescent="0.15">
      <c r="AI282" s="19"/>
    </row>
    <row r="283" spans="35:35" ht="13" x14ac:dyDescent="0.15">
      <c r="AI283" s="19"/>
    </row>
    <row r="284" spans="35:35" ht="13" x14ac:dyDescent="0.15">
      <c r="AI284" s="19"/>
    </row>
    <row r="285" spans="35:35" ht="13" x14ac:dyDescent="0.15">
      <c r="AI285" s="19"/>
    </row>
    <row r="286" spans="35:35" ht="13" x14ac:dyDescent="0.15">
      <c r="AI286" s="19"/>
    </row>
    <row r="287" spans="35:35" ht="13" x14ac:dyDescent="0.15">
      <c r="AI287" s="19"/>
    </row>
    <row r="288" spans="35:35" ht="13" x14ac:dyDescent="0.15">
      <c r="AI288" s="19"/>
    </row>
    <row r="289" spans="35:35" ht="13" x14ac:dyDescent="0.15">
      <c r="AI289" s="19"/>
    </row>
    <row r="290" spans="35:35" ht="13" x14ac:dyDescent="0.15">
      <c r="AI290" s="19"/>
    </row>
    <row r="291" spans="35:35" ht="13" x14ac:dyDescent="0.15">
      <c r="AI291" s="19"/>
    </row>
    <row r="292" spans="35:35" ht="13" x14ac:dyDescent="0.15">
      <c r="AI292" s="19"/>
    </row>
    <row r="293" spans="35:35" ht="13" x14ac:dyDescent="0.15">
      <c r="AI293" s="19"/>
    </row>
    <row r="294" spans="35:35" ht="13" x14ac:dyDescent="0.15">
      <c r="AI294" s="19"/>
    </row>
    <row r="295" spans="35:35" ht="13" x14ac:dyDescent="0.15">
      <c r="AI295" s="19"/>
    </row>
    <row r="296" spans="35:35" ht="13" x14ac:dyDescent="0.15">
      <c r="AI296" s="19"/>
    </row>
    <row r="297" spans="35:35" ht="13" x14ac:dyDescent="0.15">
      <c r="AI297" s="19"/>
    </row>
    <row r="298" spans="35:35" ht="13" x14ac:dyDescent="0.15">
      <c r="AI298" s="19"/>
    </row>
    <row r="299" spans="35:35" ht="13" x14ac:dyDescent="0.15">
      <c r="AI299" s="19"/>
    </row>
    <row r="300" spans="35:35" ht="13" x14ac:dyDescent="0.15">
      <c r="AI300" s="19"/>
    </row>
    <row r="301" spans="35:35" ht="13" x14ac:dyDescent="0.15">
      <c r="AI301" s="19"/>
    </row>
    <row r="302" spans="35:35" ht="13" x14ac:dyDescent="0.15">
      <c r="AI302" s="19"/>
    </row>
    <row r="303" spans="35:35" ht="13" x14ac:dyDescent="0.15">
      <c r="AI303" s="19"/>
    </row>
    <row r="304" spans="35:35" ht="13" x14ac:dyDescent="0.15">
      <c r="AI304" s="19"/>
    </row>
    <row r="305" spans="35:35" ht="13" x14ac:dyDescent="0.15">
      <c r="AI305" s="19"/>
    </row>
    <row r="306" spans="35:35" ht="13" x14ac:dyDescent="0.15">
      <c r="AI306" s="19"/>
    </row>
    <row r="307" spans="35:35" ht="13" x14ac:dyDescent="0.15">
      <c r="AI307" s="19"/>
    </row>
    <row r="308" spans="35:35" ht="13" x14ac:dyDescent="0.15">
      <c r="AI308" s="19"/>
    </row>
    <row r="309" spans="35:35" ht="13" x14ac:dyDescent="0.15">
      <c r="AI309" s="19"/>
    </row>
    <row r="310" spans="35:35" ht="13" x14ac:dyDescent="0.15">
      <c r="AI310" s="19"/>
    </row>
    <row r="311" spans="35:35" ht="13" x14ac:dyDescent="0.15">
      <c r="AI311" s="19"/>
    </row>
    <row r="312" spans="35:35" ht="13" x14ac:dyDescent="0.15">
      <c r="AI312" s="19"/>
    </row>
    <row r="313" spans="35:35" ht="13" x14ac:dyDescent="0.15">
      <c r="AI313" s="19"/>
    </row>
    <row r="314" spans="35:35" ht="13" x14ac:dyDescent="0.15">
      <c r="AI314" s="19"/>
    </row>
    <row r="315" spans="35:35" ht="13" x14ac:dyDescent="0.15">
      <c r="AI315" s="19"/>
    </row>
    <row r="316" spans="35:35" ht="13" x14ac:dyDescent="0.15">
      <c r="AI316" s="19"/>
    </row>
    <row r="317" spans="35:35" ht="13" x14ac:dyDescent="0.15">
      <c r="AI317" s="19"/>
    </row>
    <row r="318" spans="35:35" ht="13" x14ac:dyDescent="0.15">
      <c r="AI318" s="19"/>
    </row>
    <row r="319" spans="35:35" ht="13" x14ac:dyDescent="0.15">
      <c r="AI319" s="19"/>
    </row>
    <row r="320" spans="35:35" ht="13" x14ac:dyDescent="0.15">
      <c r="AI320" s="19"/>
    </row>
    <row r="321" spans="35:35" ht="13" x14ac:dyDescent="0.15">
      <c r="AI321" s="19"/>
    </row>
    <row r="322" spans="35:35" ht="13" x14ac:dyDescent="0.15">
      <c r="AI322" s="19"/>
    </row>
    <row r="323" spans="35:35" ht="13" x14ac:dyDescent="0.15">
      <c r="AI323" s="19"/>
    </row>
    <row r="324" spans="35:35" ht="13" x14ac:dyDescent="0.15">
      <c r="AI324" s="19"/>
    </row>
    <row r="325" spans="35:35" ht="13" x14ac:dyDescent="0.15">
      <c r="AI325" s="19"/>
    </row>
    <row r="326" spans="35:35" ht="13" x14ac:dyDescent="0.15">
      <c r="AI326" s="19"/>
    </row>
    <row r="327" spans="35:35" ht="13" x14ac:dyDescent="0.15">
      <c r="AI327" s="19"/>
    </row>
    <row r="328" spans="35:35" ht="13" x14ac:dyDescent="0.15">
      <c r="AI328" s="19"/>
    </row>
    <row r="329" spans="35:35" ht="13" x14ac:dyDescent="0.15">
      <c r="AI329" s="19"/>
    </row>
    <row r="330" spans="35:35" ht="13" x14ac:dyDescent="0.15">
      <c r="AI330" s="19"/>
    </row>
    <row r="331" spans="35:35" ht="13" x14ac:dyDescent="0.15">
      <c r="AI331" s="19"/>
    </row>
    <row r="332" spans="35:35" ht="13" x14ac:dyDescent="0.15">
      <c r="AI332" s="19"/>
    </row>
    <row r="333" spans="35:35" ht="13" x14ac:dyDescent="0.15">
      <c r="AI333" s="19"/>
    </row>
    <row r="334" spans="35:35" ht="13" x14ac:dyDescent="0.15">
      <c r="AI334" s="19"/>
    </row>
    <row r="335" spans="35:35" ht="13" x14ac:dyDescent="0.15">
      <c r="AI335" s="19"/>
    </row>
    <row r="336" spans="35:35" ht="13" x14ac:dyDescent="0.15">
      <c r="AI336" s="19"/>
    </row>
    <row r="337" spans="35:35" ht="13" x14ac:dyDescent="0.15">
      <c r="AI337" s="19"/>
    </row>
    <row r="338" spans="35:35" ht="13" x14ac:dyDescent="0.15">
      <c r="AI338" s="19"/>
    </row>
    <row r="339" spans="35:35" ht="13" x14ac:dyDescent="0.15">
      <c r="AI339" s="19"/>
    </row>
    <row r="340" spans="35:35" ht="13" x14ac:dyDescent="0.15">
      <c r="AI340" s="19"/>
    </row>
    <row r="341" spans="35:35" ht="13" x14ac:dyDescent="0.15">
      <c r="AI341" s="19"/>
    </row>
    <row r="342" spans="35:35" ht="13" x14ac:dyDescent="0.15">
      <c r="AI342" s="19"/>
    </row>
    <row r="343" spans="35:35" ht="13" x14ac:dyDescent="0.15">
      <c r="AI343" s="19"/>
    </row>
    <row r="344" spans="35:35" ht="13" x14ac:dyDescent="0.15">
      <c r="AI344" s="19"/>
    </row>
    <row r="345" spans="35:35" ht="13" x14ac:dyDescent="0.15">
      <c r="AI345" s="19"/>
    </row>
    <row r="346" spans="35:35" ht="13" x14ac:dyDescent="0.15">
      <c r="AI346" s="19"/>
    </row>
    <row r="347" spans="35:35" ht="13" x14ac:dyDescent="0.15">
      <c r="AI347" s="19"/>
    </row>
    <row r="348" spans="35:35" ht="13" x14ac:dyDescent="0.15">
      <c r="AI348" s="19"/>
    </row>
    <row r="349" spans="35:35" ht="13" x14ac:dyDescent="0.15">
      <c r="AI349" s="19"/>
    </row>
    <row r="350" spans="35:35" ht="13" x14ac:dyDescent="0.15">
      <c r="AI350" s="19"/>
    </row>
    <row r="351" spans="35:35" ht="13" x14ac:dyDescent="0.15">
      <c r="AI351" s="19"/>
    </row>
    <row r="352" spans="35:35" ht="13" x14ac:dyDescent="0.15">
      <c r="AI352" s="19"/>
    </row>
    <row r="353" spans="35:35" ht="13" x14ac:dyDescent="0.15">
      <c r="AI353" s="19"/>
    </row>
    <row r="354" spans="35:35" ht="13" x14ac:dyDescent="0.15">
      <c r="AI354" s="19"/>
    </row>
    <row r="355" spans="35:35" ht="13" x14ac:dyDescent="0.15">
      <c r="AI355" s="19"/>
    </row>
    <row r="356" spans="35:35" ht="13" x14ac:dyDescent="0.15">
      <c r="AI356" s="19"/>
    </row>
    <row r="357" spans="35:35" ht="13" x14ac:dyDescent="0.15">
      <c r="AI357" s="19"/>
    </row>
    <row r="358" spans="35:35" ht="13" x14ac:dyDescent="0.15">
      <c r="AI358" s="19"/>
    </row>
    <row r="359" spans="35:35" ht="13" x14ac:dyDescent="0.15">
      <c r="AI359" s="19"/>
    </row>
    <row r="360" spans="35:35" ht="13" x14ac:dyDescent="0.15">
      <c r="AI360" s="19"/>
    </row>
    <row r="361" spans="35:35" ht="13" x14ac:dyDescent="0.15">
      <c r="AI361" s="19"/>
    </row>
    <row r="362" spans="35:35" ht="13" x14ac:dyDescent="0.15">
      <c r="AI362" s="19"/>
    </row>
    <row r="363" spans="35:35" ht="13" x14ac:dyDescent="0.15">
      <c r="AI363" s="19"/>
    </row>
    <row r="364" spans="35:35" ht="13" x14ac:dyDescent="0.15">
      <c r="AI364" s="19"/>
    </row>
    <row r="365" spans="35:35" ht="13" x14ac:dyDescent="0.15">
      <c r="AI365" s="19"/>
    </row>
    <row r="366" spans="35:35" ht="13" x14ac:dyDescent="0.15">
      <c r="AI366" s="19"/>
    </row>
    <row r="367" spans="35:35" ht="13" x14ac:dyDescent="0.15">
      <c r="AI367" s="19"/>
    </row>
    <row r="368" spans="35:35" ht="13" x14ac:dyDescent="0.15">
      <c r="AI368" s="19"/>
    </row>
    <row r="369" spans="35:35" ht="13" x14ac:dyDescent="0.15">
      <c r="AI369" s="19"/>
    </row>
    <row r="370" spans="35:35" ht="13" x14ac:dyDescent="0.15">
      <c r="AI370" s="19"/>
    </row>
    <row r="371" spans="35:35" ht="13" x14ac:dyDescent="0.15">
      <c r="AI371" s="19"/>
    </row>
    <row r="372" spans="35:35" ht="13" x14ac:dyDescent="0.15">
      <c r="AI372" s="19"/>
    </row>
    <row r="373" spans="35:35" ht="13" x14ac:dyDescent="0.15">
      <c r="AI373" s="19"/>
    </row>
    <row r="374" spans="35:35" ht="13" x14ac:dyDescent="0.15">
      <c r="AI374" s="19"/>
    </row>
    <row r="375" spans="35:35" ht="13" x14ac:dyDescent="0.15">
      <c r="AI375" s="19"/>
    </row>
    <row r="376" spans="35:35" ht="13" x14ac:dyDescent="0.15">
      <c r="AI376" s="19"/>
    </row>
    <row r="377" spans="35:35" ht="13" x14ac:dyDescent="0.15">
      <c r="AI377" s="19"/>
    </row>
    <row r="378" spans="35:35" ht="13" x14ac:dyDescent="0.15">
      <c r="AI378" s="19"/>
    </row>
    <row r="379" spans="35:35" ht="13" x14ac:dyDescent="0.15">
      <c r="AI379" s="19"/>
    </row>
    <row r="380" spans="35:35" ht="13" x14ac:dyDescent="0.15">
      <c r="AI380" s="19"/>
    </row>
    <row r="381" spans="35:35" ht="13" x14ac:dyDescent="0.15">
      <c r="AI381" s="19"/>
    </row>
    <row r="382" spans="35:35" ht="13" x14ac:dyDescent="0.15">
      <c r="AI382" s="19"/>
    </row>
    <row r="383" spans="35:35" ht="13" x14ac:dyDescent="0.15">
      <c r="AI383" s="19"/>
    </row>
    <row r="384" spans="35:35" ht="13" x14ac:dyDescent="0.15">
      <c r="AI384" s="19"/>
    </row>
    <row r="385" spans="35:35" ht="13" x14ac:dyDescent="0.15">
      <c r="AI385" s="19"/>
    </row>
    <row r="386" spans="35:35" ht="13" x14ac:dyDescent="0.15">
      <c r="AI386" s="19"/>
    </row>
    <row r="387" spans="35:35" ht="13" x14ac:dyDescent="0.15">
      <c r="AI387" s="19"/>
    </row>
    <row r="388" spans="35:35" ht="13" x14ac:dyDescent="0.15">
      <c r="AI388" s="19"/>
    </row>
    <row r="389" spans="35:35" ht="13" x14ac:dyDescent="0.15">
      <c r="AI389" s="19"/>
    </row>
    <row r="390" spans="35:35" ht="13" x14ac:dyDescent="0.15">
      <c r="AI390" s="19"/>
    </row>
    <row r="391" spans="35:35" ht="13" x14ac:dyDescent="0.15">
      <c r="AI391" s="19"/>
    </row>
    <row r="392" spans="35:35" ht="13" x14ac:dyDescent="0.15">
      <c r="AI392" s="19"/>
    </row>
    <row r="393" spans="35:35" ht="13" x14ac:dyDescent="0.15">
      <c r="AI393" s="19"/>
    </row>
    <row r="394" spans="35:35" ht="13" x14ac:dyDescent="0.15">
      <c r="AI394" s="19"/>
    </row>
    <row r="395" spans="35:35" ht="13" x14ac:dyDescent="0.15">
      <c r="AI395" s="19"/>
    </row>
    <row r="396" spans="35:35" ht="13" x14ac:dyDescent="0.15">
      <c r="AI396" s="19"/>
    </row>
    <row r="397" spans="35:35" ht="13" x14ac:dyDescent="0.15">
      <c r="AI397" s="19"/>
    </row>
    <row r="398" spans="35:35" ht="13" x14ac:dyDescent="0.15">
      <c r="AI398" s="19"/>
    </row>
    <row r="399" spans="35:35" ht="13" x14ac:dyDescent="0.15">
      <c r="AI399" s="19"/>
    </row>
    <row r="400" spans="35:35" ht="13" x14ac:dyDescent="0.15">
      <c r="AI400" s="19"/>
    </row>
    <row r="401" spans="35:35" ht="13" x14ac:dyDescent="0.15">
      <c r="AI401" s="19"/>
    </row>
    <row r="402" spans="35:35" ht="13" x14ac:dyDescent="0.15">
      <c r="AI402" s="19"/>
    </row>
    <row r="403" spans="35:35" ht="13" x14ac:dyDescent="0.15">
      <c r="AI403" s="19"/>
    </row>
    <row r="404" spans="35:35" ht="13" x14ac:dyDescent="0.15">
      <c r="AI404" s="19"/>
    </row>
    <row r="405" spans="35:35" ht="13" x14ac:dyDescent="0.15">
      <c r="AI405" s="19"/>
    </row>
    <row r="406" spans="35:35" ht="13" x14ac:dyDescent="0.15">
      <c r="AI406" s="19"/>
    </row>
    <row r="407" spans="35:35" ht="13" x14ac:dyDescent="0.15">
      <c r="AI407" s="19"/>
    </row>
    <row r="408" spans="35:35" ht="13" x14ac:dyDescent="0.15">
      <c r="AI408" s="19"/>
    </row>
    <row r="409" spans="35:35" ht="13" x14ac:dyDescent="0.15">
      <c r="AI409" s="19"/>
    </row>
    <row r="410" spans="35:35" ht="13" x14ac:dyDescent="0.15">
      <c r="AI410" s="19"/>
    </row>
    <row r="411" spans="35:35" ht="13" x14ac:dyDescent="0.15">
      <c r="AI411" s="19"/>
    </row>
    <row r="412" spans="35:35" ht="13" x14ac:dyDescent="0.15">
      <c r="AI412" s="19"/>
    </row>
    <row r="413" spans="35:35" ht="13" x14ac:dyDescent="0.15">
      <c r="AI413" s="19"/>
    </row>
    <row r="414" spans="35:35" ht="13" x14ac:dyDescent="0.15">
      <c r="AI414" s="19"/>
    </row>
    <row r="415" spans="35:35" ht="13" x14ac:dyDescent="0.15">
      <c r="AI415" s="19"/>
    </row>
    <row r="416" spans="35:35" ht="13" x14ac:dyDescent="0.15">
      <c r="AI416" s="19"/>
    </row>
    <row r="417" spans="35:35" ht="13" x14ac:dyDescent="0.15">
      <c r="AI417" s="19"/>
    </row>
    <row r="418" spans="35:35" ht="13" x14ac:dyDescent="0.15">
      <c r="AI418" s="19"/>
    </row>
    <row r="419" spans="35:35" ht="13" x14ac:dyDescent="0.15">
      <c r="AI419" s="19"/>
    </row>
    <row r="420" spans="35:35" ht="13" x14ac:dyDescent="0.15">
      <c r="AI420" s="19"/>
    </row>
    <row r="421" spans="35:35" ht="13" x14ac:dyDescent="0.15">
      <c r="AI421" s="19"/>
    </row>
    <row r="422" spans="35:35" ht="13" x14ac:dyDescent="0.15">
      <c r="AI422" s="19"/>
    </row>
    <row r="423" spans="35:35" ht="13" x14ac:dyDescent="0.15">
      <c r="AI423" s="19"/>
    </row>
    <row r="424" spans="35:35" ht="13" x14ac:dyDescent="0.15">
      <c r="AI424" s="19"/>
    </row>
    <row r="425" spans="35:35" ht="13" x14ac:dyDescent="0.15">
      <c r="AI425" s="19"/>
    </row>
    <row r="426" spans="35:35" ht="13" x14ac:dyDescent="0.15">
      <c r="AI426" s="19"/>
    </row>
    <row r="427" spans="35:35" ht="13" x14ac:dyDescent="0.15">
      <c r="AI427" s="19"/>
    </row>
    <row r="428" spans="35:35" ht="13" x14ac:dyDescent="0.15">
      <c r="AI428" s="19"/>
    </row>
    <row r="429" spans="35:35" ht="13" x14ac:dyDescent="0.15">
      <c r="AI429" s="19"/>
    </row>
    <row r="430" spans="35:35" ht="13" x14ac:dyDescent="0.15">
      <c r="AI430" s="19"/>
    </row>
    <row r="431" spans="35:35" ht="13" x14ac:dyDescent="0.15">
      <c r="AI431" s="19"/>
    </row>
    <row r="432" spans="35:35" ht="13" x14ac:dyDescent="0.15">
      <c r="AI432" s="19"/>
    </row>
    <row r="433" spans="35:35" ht="13" x14ac:dyDescent="0.15">
      <c r="AI433" s="19"/>
    </row>
    <row r="434" spans="35:35" ht="13" x14ac:dyDescent="0.15">
      <c r="AI434" s="19"/>
    </row>
    <row r="435" spans="35:35" ht="13" x14ac:dyDescent="0.15">
      <c r="AI435" s="19"/>
    </row>
    <row r="436" spans="35:35" ht="13" x14ac:dyDescent="0.15">
      <c r="AI436" s="19"/>
    </row>
    <row r="437" spans="35:35" ht="13" x14ac:dyDescent="0.15">
      <c r="AI437" s="19"/>
    </row>
    <row r="438" spans="35:35" ht="13" x14ac:dyDescent="0.15">
      <c r="AI438" s="19"/>
    </row>
    <row r="439" spans="35:35" ht="13" x14ac:dyDescent="0.15">
      <c r="AI439" s="19"/>
    </row>
    <row r="440" spans="35:35" ht="13" x14ac:dyDescent="0.15">
      <c r="AI440" s="19"/>
    </row>
    <row r="441" spans="35:35" ht="13" x14ac:dyDescent="0.15">
      <c r="AI441" s="19"/>
    </row>
    <row r="442" spans="35:35" ht="13" x14ac:dyDescent="0.15">
      <c r="AI442" s="19"/>
    </row>
    <row r="443" spans="35:35" ht="13" x14ac:dyDescent="0.15">
      <c r="AI443" s="19"/>
    </row>
    <row r="444" spans="35:35" ht="13" x14ac:dyDescent="0.15">
      <c r="AI444" s="19"/>
    </row>
    <row r="445" spans="35:35" ht="13" x14ac:dyDescent="0.15">
      <c r="AI445" s="19"/>
    </row>
    <row r="446" spans="35:35" ht="13" x14ac:dyDescent="0.15">
      <c r="AI446" s="19"/>
    </row>
    <row r="447" spans="35:35" ht="13" x14ac:dyDescent="0.15">
      <c r="AI447" s="19"/>
    </row>
    <row r="448" spans="35:35" ht="13" x14ac:dyDescent="0.15">
      <c r="AI448" s="19"/>
    </row>
    <row r="449" spans="35:35" ht="13" x14ac:dyDescent="0.15">
      <c r="AI449" s="19"/>
    </row>
    <row r="450" spans="35:35" ht="13" x14ac:dyDescent="0.15">
      <c r="AI450" s="19"/>
    </row>
    <row r="451" spans="35:35" ht="13" x14ac:dyDescent="0.15">
      <c r="AI451" s="19"/>
    </row>
    <row r="452" spans="35:35" ht="13" x14ac:dyDescent="0.15">
      <c r="AI452" s="19"/>
    </row>
    <row r="453" spans="35:35" ht="13" x14ac:dyDescent="0.15">
      <c r="AI453" s="19"/>
    </row>
    <row r="454" spans="35:35" ht="13" x14ac:dyDescent="0.15">
      <c r="AI454" s="19"/>
    </row>
    <row r="455" spans="35:35" ht="13" x14ac:dyDescent="0.15">
      <c r="AI455" s="19"/>
    </row>
    <row r="456" spans="35:35" ht="13" x14ac:dyDescent="0.15">
      <c r="AI456" s="19"/>
    </row>
    <row r="457" spans="35:35" ht="13" x14ac:dyDescent="0.15">
      <c r="AI457" s="19"/>
    </row>
    <row r="458" spans="35:35" ht="13" x14ac:dyDescent="0.15">
      <c r="AI458" s="19"/>
    </row>
    <row r="459" spans="35:35" ht="13" x14ac:dyDescent="0.15">
      <c r="AI459" s="19"/>
    </row>
    <row r="460" spans="35:35" ht="13" x14ac:dyDescent="0.15">
      <c r="AI460" s="19"/>
    </row>
    <row r="461" spans="35:35" ht="13" x14ac:dyDescent="0.15">
      <c r="AI461" s="19"/>
    </row>
    <row r="462" spans="35:35" ht="13" x14ac:dyDescent="0.15">
      <c r="AI462" s="19"/>
    </row>
    <row r="463" spans="35:35" ht="13" x14ac:dyDescent="0.15">
      <c r="AI463" s="19"/>
    </row>
    <row r="464" spans="35:35" ht="13" x14ac:dyDescent="0.15">
      <c r="AI464" s="19"/>
    </row>
    <row r="465" spans="35:35" ht="13" x14ac:dyDescent="0.15">
      <c r="AI465" s="19"/>
    </row>
    <row r="466" spans="35:35" ht="13" x14ac:dyDescent="0.15">
      <c r="AI466" s="19"/>
    </row>
    <row r="467" spans="35:35" ht="13" x14ac:dyDescent="0.15">
      <c r="AI467" s="19"/>
    </row>
    <row r="468" spans="35:35" ht="13" x14ac:dyDescent="0.15">
      <c r="AI468" s="19"/>
    </row>
    <row r="469" spans="35:35" ht="13" x14ac:dyDescent="0.15">
      <c r="AI469" s="19"/>
    </row>
    <row r="470" spans="35:35" ht="13" x14ac:dyDescent="0.15">
      <c r="AI470" s="19"/>
    </row>
    <row r="471" spans="35:35" ht="13" x14ac:dyDescent="0.15">
      <c r="AI471" s="19"/>
    </row>
    <row r="472" spans="35:35" ht="13" x14ac:dyDescent="0.15">
      <c r="AI472" s="19"/>
    </row>
    <row r="473" spans="35:35" ht="13" x14ac:dyDescent="0.15">
      <c r="AI473" s="19"/>
    </row>
    <row r="474" spans="35:35" ht="13" x14ac:dyDescent="0.15">
      <c r="AI474" s="19"/>
    </row>
    <row r="475" spans="35:35" ht="13" x14ac:dyDescent="0.15">
      <c r="AI475" s="19"/>
    </row>
    <row r="476" spans="35:35" ht="13" x14ac:dyDescent="0.15">
      <c r="AI476" s="19"/>
    </row>
    <row r="477" spans="35:35" ht="13" x14ac:dyDescent="0.15">
      <c r="AI477" s="19"/>
    </row>
    <row r="478" spans="35:35" ht="13" x14ac:dyDescent="0.15">
      <c r="AI478" s="19"/>
    </row>
    <row r="479" spans="35:35" ht="13" x14ac:dyDescent="0.15">
      <c r="AI479" s="19"/>
    </row>
    <row r="480" spans="35:35" ht="13" x14ac:dyDescent="0.15">
      <c r="AI480" s="19"/>
    </row>
    <row r="481" spans="35:35" ht="13" x14ac:dyDescent="0.15">
      <c r="AI481" s="19"/>
    </row>
    <row r="482" spans="35:35" ht="13" x14ac:dyDescent="0.15">
      <c r="AI482" s="19"/>
    </row>
    <row r="483" spans="35:35" ht="13" x14ac:dyDescent="0.15">
      <c r="AI483" s="19"/>
    </row>
    <row r="484" spans="35:35" ht="13" x14ac:dyDescent="0.15">
      <c r="AI484" s="19"/>
    </row>
    <row r="485" spans="35:35" ht="13" x14ac:dyDescent="0.15">
      <c r="AI485" s="19"/>
    </row>
    <row r="486" spans="35:35" ht="13" x14ac:dyDescent="0.15">
      <c r="AI486" s="19"/>
    </row>
    <row r="487" spans="35:35" ht="13" x14ac:dyDescent="0.15">
      <c r="AI487" s="19"/>
    </row>
    <row r="488" spans="35:35" ht="13" x14ac:dyDescent="0.15">
      <c r="AI488" s="19"/>
    </row>
    <row r="489" spans="35:35" ht="13" x14ac:dyDescent="0.15">
      <c r="AI489" s="19"/>
    </row>
    <row r="490" spans="35:35" ht="13" x14ac:dyDescent="0.15">
      <c r="AI490" s="19"/>
    </row>
    <row r="491" spans="35:35" ht="13" x14ac:dyDescent="0.15">
      <c r="AI491" s="19"/>
    </row>
    <row r="492" spans="35:35" ht="13" x14ac:dyDescent="0.15">
      <c r="AI492" s="19"/>
    </row>
    <row r="493" spans="35:35" ht="13" x14ac:dyDescent="0.15">
      <c r="AI493" s="19"/>
    </row>
    <row r="494" spans="35:35" ht="13" x14ac:dyDescent="0.15">
      <c r="AI494" s="19"/>
    </row>
    <row r="495" spans="35:35" ht="13" x14ac:dyDescent="0.15">
      <c r="AI495" s="19"/>
    </row>
    <row r="496" spans="35:35" ht="13" x14ac:dyDescent="0.15">
      <c r="AI496" s="19"/>
    </row>
    <row r="497" spans="35:35" ht="13" x14ac:dyDescent="0.15">
      <c r="AI497" s="19"/>
    </row>
    <row r="498" spans="35:35" ht="13" x14ac:dyDescent="0.15">
      <c r="AI498" s="19"/>
    </row>
    <row r="499" spans="35:35" ht="13" x14ac:dyDescent="0.15">
      <c r="AI499" s="19"/>
    </row>
    <row r="500" spans="35:35" ht="13" x14ac:dyDescent="0.15">
      <c r="AI500" s="19"/>
    </row>
    <row r="501" spans="35:35" ht="13" x14ac:dyDescent="0.15">
      <c r="AI501" s="19"/>
    </row>
    <row r="502" spans="35:35" ht="13" x14ac:dyDescent="0.15">
      <c r="AI502" s="19"/>
    </row>
    <row r="503" spans="35:35" ht="13" x14ac:dyDescent="0.15">
      <c r="AI503" s="19"/>
    </row>
    <row r="504" spans="35:35" ht="13" x14ac:dyDescent="0.15">
      <c r="AI504" s="19"/>
    </row>
    <row r="505" spans="35:35" ht="13" x14ac:dyDescent="0.15">
      <c r="AI505" s="19"/>
    </row>
    <row r="506" spans="35:35" ht="13" x14ac:dyDescent="0.15">
      <c r="AI506" s="19"/>
    </row>
    <row r="507" spans="35:35" ht="13" x14ac:dyDescent="0.15">
      <c r="AI507" s="19"/>
    </row>
    <row r="508" spans="35:35" ht="13" x14ac:dyDescent="0.15">
      <c r="AI508" s="19"/>
    </row>
    <row r="509" spans="35:35" ht="13" x14ac:dyDescent="0.15">
      <c r="AI509" s="19"/>
    </row>
    <row r="510" spans="35:35" ht="13" x14ac:dyDescent="0.15">
      <c r="AI510" s="19"/>
    </row>
    <row r="511" spans="35:35" ht="13" x14ac:dyDescent="0.15">
      <c r="AI511" s="19"/>
    </row>
    <row r="512" spans="35:35" ht="13" x14ac:dyDescent="0.15">
      <c r="AI512" s="19"/>
    </row>
    <row r="513" spans="35:35" ht="13" x14ac:dyDescent="0.15">
      <c r="AI513" s="19"/>
    </row>
    <row r="514" spans="35:35" ht="13" x14ac:dyDescent="0.15">
      <c r="AI514" s="19"/>
    </row>
    <row r="515" spans="35:35" ht="13" x14ac:dyDescent="0.15">
      <c r="AI515" s="19"/>
    </row>
    <row r="516" spans="35:35" ht="13" x14ac:dyDescent="0.15">
      <c r="AI516" s="19"/>
    </row>
    <row r="517" spans="35:35" ht="13" x14ac:dyDescent="0.15">
      <c r="AI517" s="19"/>
    </row>
    <row r="518" spans="35:35" ht="13" x14ac:dyDescent="0.15">
      <c r="AI518" s="19"/>
    </row>
    <row r="519" spans="35:35" ht="13" x14ac:dyDescent="0.15">
      <c r="AI519" s="19"/>
    </row>
    <row r="520" spans="35:35" ht="13" x14ac:dyDescent="0.15">
      <c r="AI520" s="19"/>
    </row>
    <row r="521" spans="35:35" ht="13" x14ac:dyDescent="0.15">
      <c r="AI521" s="19"/>
    </row>
    <row r="522" spans="35:35" ht="13" x14ac:dyDescent="0.15">
      <c r="AI522" s="19"/>
    </row>
    <row r="523" spans="35:35" ht="13" x14ac:dyDescent="0.15">
      <c r="AI523" s="19"/>
    </row>
    <row r="524" spans="35:35" ht="13" x14ac:dyDescent="0.15">
      <c r="AI524" s="19"/>
    </row>
    <row r="525" spans="35:35" ht="13" x14ac:dyDescent="0.15">
      <c r="AI525" s="19"/>
    </row>
    <row r="526" spans="35:35" ht="13" x14ac:dyDescent="0.15">
      <c r="AI526" s="19"/>
    </row>
    <row r="527" spans="35:35" ht="13" x14ac:dyDescent="0.15">
      <c r="AI527" s="19"/>
    </row>
    <row r="528" spans="35:35" ht="13" x14ac:dyDescent="0.15">
      <c r="AI528" s="19"/>
    </row>
    <row r="529" spans="35:35" ht="13" x14ac:dyDescent="0.15">
      <c r="AI529" s="19"/>
    </row>
    <row r="530" spans="35:35" ht="13" x14ac:dyDescent="0.15">
      <c r="AI530" s="19"/>
    </row>
    <row r="531" spans="35:35" ht="13" x14ac:dyDescent="0.15">
      <c r="AI531" s="19"/>
    </row>
    <row r="532" spans="35:35" ht="13" x14ac:dyDescent="0.15">
      <c r="AI532" s="19"/>
    </row>
    <row r="533" spans="35:35" ht="13" x14ac:dyDescent="0.15">
      <c r="AI533" s="19"/>
    </row>
    <row r="534" spans="35:35" ht="13" x14ac:dyDescent="0.15">
      <c r="AI534" s="19"/>
    </row>
    <row r="535" spans="35:35" ht="13" x14ac:dyDescent="0.15">
      <c r="AI535" s="19"/>
    </row>
    <row r="536" spans="35:35" ht="13" x14ac:dyDescent="0.15">
      <c r="AI536" s="19"/>
    </row>
    <row r="537" spans="35:35" ht="13" x14ac:dyDescent="0.15">
      <c r="AI537" s="19"/>
    </row>
    <row r="538" spans="35:35" ht="13" x14ac:dyDescent="0.15">
      <c r="AI538" s="19"/>
    </row>
    <row r="539" spans="35:35" ht="13" x14ac:dyDescent="0.15">
      <c r="AI539" s="19"/>
    </row>
    <row r="540" spans="35:35" ht="13" x14ac:dyDescent="0.15">
      <c r="AI540" s="19"/>
    </row>
    <row r="541" spans="35:35" ht="13" x14ac:dyDescent="0.15">
      <c r="AI541" s="19"/>
    </row>
    <row r="542" spans="35:35" ht="13" x14ac:dyDescent="0.15">
      <c r="AI542" s="19"/>
    </row>
    <row r="543" spans="35:35" ht="13" x14ac:dyDescent="0.15">
      <c r="AI543" s="19"/>
    </row>
    <row r="544" spans="35:35" ht="13" x14ac:dyDescent="0.15">
      <c r="AI544" s="19"/>
    </row>
    <row r="545" spans="35:35" ht="13" x14ac:dyDescent="0.15">
      <c r="AI545" s="19"/>
    </row>
    <row r="546" spans="35:35" ht="13" x14ac:dyDescent="0.15">
      <c r="AI546" s="19"/>
    </row>
    <row r="547" spans="35:35" ht="13" x14ac:dyDescent="0.15">
      <c r="AI547" s="19"/>
    </row>
    <row r="548" spans="35:35" ht="13" x14ac:dyDescent="0.15">
      <c r="AI548" s="19"/>
    </row>
    <row r="549" spans="35:35" ht="13" x14ac:dyDescent="0.15">
      <c r="AI549" s="19"/>
    </row>
    <row r="550" spans="35:35" ht="13" x14ac:dyDescent="0.15">
      <c r="AI550" s="19"/>
    </row>
    <row r="551" spans="35:35" ht="13" x14ac:dyDescent="0.15">
      <c r="AI551" s="19"/>
    </row>
    <row r="552" spans="35:35" ht="13" x14ac:dyDescent="0.15">
      <c r="AI552" s="19"/>
    </row>
    <row r="553" spans="35:35" ht="13" x14ac:dyDescent="0.15">
      <c r="AI553" s="19"/>
    </row>
    <row r="554" spans="35:35" ht="13" x14ac:dyDescent="0.15">
      <c r="AI554" s="19"/>
    </row>
    <row r="555" spans="35:35" ht="13" x14ac:dyDescent="0.15">
      <c r="AI555" s="19"/>
    </row>
    <row r="556" spans="35:35" ht="13" x14ac:dyDescent="0.15">
      <c r="AI556" s="19"/>
    </row>
    <row r="557" spans="35:35" ht="13" x14ac:dyDescent="0.15">
      <c r="AI557" s="19"/>
    </row>
    <row r="558" spans="35:35" ht="13" x14ac:dyDescent="0.15">
      <c r="AI558" s="19"/>
    </row>
    <row r="559" spans="35:35" ht="13" x14ac:dyDescent="0.15">
      <c r="AI559" s="19"/>
    </row>
    <row r="560" spans="35:35" ht="13" x14ac:dyDescent="0.15">
      <c r="AI560" s="19"/>
    </row>
    <row r="561" spans="35:35" ht="13" x14ac:dyDescent="0.15">
      <c r="AI561" s="19"/>
    </row>
    <row r="562" spans="35:35" ht="13" x14ac:dyDescent="0.15">
      <c r="AI562" s="19"/>
    </row>
    <row r="563" spans="35:35" ht="13" x14ac:dyDescent="0.15">
      <c r="AI563" s="19"/>
    </row>
    <row r="564" spans="35:35" ht="13" x14ac:dyDescent="0.15">
      <c r="AI564" s="19"/>
    </row>
    <row r="565" spans="35:35" ht="13" x14ac:dyDescent="0.15">
      <c r="AI565" s="19"/>
    </row>
    <row r="566" spans="35:35" ht="13" x14ac:dyDescent="0.15">
      <c r="AI566" s="19"/>
    </row>
    <row r="567" spans="35:35" ht="13" x14ac:dyDescent="0.15">
      <c r="AI567" s="19"/>
    </row>
    <row r="568" spans="35:35" ht="13" x14ac:dyDescent="0.15">
      <c r="AI568" s="19"/>
    </row>
    <row r="569" spans="35:35" ht="13" x14ac:dyDescent="0.15">
      <c r="AI569" s="19"/>
    </row>
    <row r="570" spans="35:35" ht="13" x14ac:dyDescent="0.15">
      <c r="AI570" s="19"/>
    </row>
    <row r="571" spans="35:35" ht="13" x14ac:dyDescent="0.15">
      <c r="AI571" s="19"/>
    </row>
    <row r="572" spans="35:35" ht="13" x14ac:dyDescent="0.15">
      <c r="AI572" s="19"/>
    </row>
    <row r="573" spans="35:35" ht="13" x14ac:dyDescent="0.15">
      <c r="AI573" s="19"/>
    </row>
    <row r="574" spans="35:35" ht="13" x14ac:dyDescent="0.15">
      <c r="AI574" s="19"/>
    </row>
    <row r="575" spans="35:35" ht="13" x14ac:dyDescent="0.15">
      <c r="AI575" s="19"/>
    </row>
    <row r="576" spans="35:35" ht="13" x14ac:dyDescent="0.15">
      <c r="AI576" s="19"/>
    </row>
    <row r="577" spans="35:35" ht="13" x14ac:dyDescent="0.15">
      <c r="AI577" s="19"/>
    </row>
    <row r="578" spans="35:35" ht="13" x14ac:dyDescent="0.15">
      <c r="AI578" s="19"/>
    </row>
    <row r="579" spans="35:35" ht="13" x14ac:dyDescent="0.15">
      <c r="AI579" s="19"/>
    </row>
    <row r="580" spans="35:35" ht="13" x14ac:dyDescent="0.15">
      <c r="AI580" s="19"/>
    </row>
    <row r="581" spans="35:35" ht="13" x14ac:dyDescent="0.15">
      <c r="AI581" s="19"/>
    </row>
    <row r="582" spans="35:35" ht="13" x14ac:dyDescent="0.15">
      <c r="AI582" s="19"/>
    </row>
    <row r="583" spans="35:35" ht="13" x14ac:dyDescent="0.15">
      <c r="AI583" s="19"/>
    </row>
    <row r="584" spans="35:35" ht="13" x14ac:dyDescent="0.15">
      <c r="AI584" s="19"/>
    </row>
    <row r="585" spans="35:35" ht="13" x14ac:dyDescent="0.15">
      <c r="AI585" s="19"/>
    </row>
    <row r="586" spans="35:35" ht="13" x14ac:dyDescent="0.15">
      <c r="AI586" s="19"/>
    </row>
    <row r="587" spans="35:35" ht="13" x14ac:dyDescent="0.15">
      <c r="AI587" s="19"/>
    </row>
    <row r="588" spans="35:35" ht="13" x14ac:dyDescent="0.15">
      <c r="AI588" s="19"/>
    </row>
    <row r="589" spans="35:35" ht="13" x14ac:dyDescent="0.15">
      <c r="AI589" s="19"/>
    </row>
    <row r="590" spans="35:35" ht="13" x14ac:dyDescent="0.15">
      <c r="AI590" s="19"/>
    </row>
    <row r="591" spans="35:35" ht="13" x14ac:dyDescent="0.15">
      <c r="AI591" s="19"/>
    </row>
    <row r="592" spans="35:35" ht="13" x14ac:dyDescent="0.15">
      <c r="AI592" s="19"/>
    </row>
    <row r="593" spans="35:35" ht="13" x14ac:dyDescent="0.15">
      <c r="AI593" s="19"/>
    </row>
    <row r="594" spans="35:35" ht="13" x14ac:dyDescent="0.15">
      <c r="AI594" s="19"/>
    </row>
    <row r="595" spans="35:35" ht="13" x14ac:dyDescent="0.15">
      <c r="AI595" s="19"/>
    </row>
    <row r="596" spans="35:35" ht="13" x14ac:dyDescent="0.15">
      <c r="AI596" s="19"/>
    </row>
    <row r="597" spans="35:35" ht="13" x14ac:dyDescent="0.15">
      <c r="AI597" s="19"/>
    </row>
    <row r="598" spans="35:35" ht="13" x14ac:dyDescent="0.15">
      <c r="AI598" s="19"/>
    </row>
    <row r="599" spans="35:35" ht="13" x14ac:dyDescent="0.15">
      <c r="AI599" s="19"/>
    </row>
    <row r="600" spans="35:35" ht="13" x14ac:dyDescent="0.15">
      <c r="AI600" s="19"/>
    </row>
    <row r="601" spans="35:35" ht="13" x14ac:dyDescent="0.15">
      <c r="AI601" s="19"/>
    </row>
    <row r="602" spans="35:35" ht="13" x14ac:dyDescent="0.15">
      <c r="AI602" s="19"/>
    </row>
    <row r="603" spans="35:35" ht="13" x14ac:dyDescent="0.15">
      <c r="AI603" s="19"/>
    </row>
    <row r="604" spans="35:35" ht="13" x14ac:dyDescent="0.15">
      <c r="AI604" s="19"/>
    </row>
    <row r="605" spans="35:35" ht="13" x14ac:dyDescent="0.15">
      <c r="AI605" s="19"/>
    </row>
    <row r="606" spans="35:35" ht="13" x14ac:dyDescent="0.15">
      <c r="AI606" s="19"/>
    </row>
    <row r="607" spans="35:35" ht="13" x14ac:dyDescent="0.15">
      <c r="AI607" s="19"/>
    </row>
    <row r="608" spans="35:35" ht="13" x14ac:dyDescent="0.15">
      <c r="AI608" s="19"/>
    </row>
    <row r="609" spans="35:35" ht="13" x14ac:dyDescent="0.15">
      <c r="AI609" s="19"/>
    </row>
    <row r="610" spans="35:35" ht="13" x14ac:dyDescent="0.15">
      <c r="AI610" s="19"/>
    </row>
    <row r="611" spans="35:35" ht="13" x14ac:dyDescent="0.15">
      <c r="AI611" s="19"/>
    </row>
    <row r="612" spans="35:35" ht="13" x14ac:dyDescent="0.15">
      <c r="AI612" s="19"/>
    </row>
    <row r="613" spans="35:35" ht="13" x14ac:dyDescent="0.15">
      <c r="AI613" s="19"/>
    </row>
    <row r="614" spans="35:35" ht="13" x14ac:dyDescent="0.15">
      <c r="AI614" s="19"/>
    </row>
    <row r="615" spans="35:35" ht="13" x14ac:dyDescent="0.15">
      <c r="AI615" s="19"/>
    </row>
    <row r="616" spans="35:35" ht="13" x14ac:dyDescent="0.15">
      <c r="AI616" s="19"/>
    </row>
    <row r="617" spans="35:35" ht="13" x14ac:dyDescent="0.15">
      <c r="AI617" s="19"/>
    </row>
    <row r="618" spans="35:35" ht="13" x14ac:dyDescent="0.15">
      <c r="AI618" s="19"/>
    </row>
    <row r="619" spans="35:35" ht="13" x14ac:dyDescent="0.15">
      <c r="AI619" s="19"/>
    </row>
    <row r="620" spans="35:35" ht="13" x14ac:dyDescent="0.15">
      <c r="AI620" s="19"/>
    </row>
    <row r="621" spans="35:35" ht="13" x14ac:dyDescent="0.15">
      <c r="AI621" s="19"/>
    </row>
    <row r="622" spans="35:35" ht="13" x14ac:dyDescent="0.15">
      <c r="AI622" s="19"/>
    </row>
    <row r="623" spans="35:35" ht="13" x14ac:dyDescent="0.15">
      <c r="AI623" s="19"/>
    </row>
    <row r="624" spans="35:35" ht="13" x14ac:dyDescent="0.15">
      <c r="AI624" s="19"/>
    </row>
    <row r="625" spans="35:35" ht="13" x14ac:dyDescent="0.15">
      <c r="AI625" s="19"/>
    </row>
    <row r="626" spans="35:35" ht="13" x14ac:dyDescent="0.15">
      <c r="AI626" s="19"/>
    </row>
    <row r="627" spans="35:35" ht="13" x14ac:dyDescent="0.15">
      <c r="AI627" s="19"/>
    </row>
    <row r="628" spans="35:35" ht="13" x14ac:dyDescent="0.15">
      <c r="AI628" s="19"/>
    </row>
    <row r="629" spans="35:35" ht="13" x14ac:dyDescent="0.15">
      <c r="AI629" s="19"/>
    </row>
    <row r="630" spans="35:35" ht="13" x14ac:dyDescent="0.15">
      <c r="AI630" s="19"/>
    </row>
    <row r="631" spans="35:35" ht="13" x14ac:dyDescent="0.15">
      <c r="AI631" s="19"/>
    </row>
    <row r="632" spans="35:35" ht="13" x14ac:dyDescent="0.15">
      <c r="AI632" s="19"/>
    </row>
    <row r="633" spans="35:35" ht="13" x14ac:dyDescent="0.15">
      <c r="AI633" s="19"/>
    </row>
    <row r="634" spans="35:35" ht="13" x14ac:dyDescent="0.15">
      <c r="AI634" s="19"/>
    </row>
    <row r="635" spans="35:35" ht="13" x14ac:dyDescent="0.15">
      <c r="AI635" s="19"/>
    </row>
    <row r="636" spans="35:35" ht="13" x14ac:dyDescent="0.15">
      <c r="AI636" s="19"/>
    </row>
    <row r="637" spans="35:35" ht="13" x14ac:dyDescent="0.15">
      <c r="AI637" s="19"/>
    </row>
    <row r="638" spans="35:35" ht="13" x14ac:dyDescent="0.15">
      <c r="AI638" s="19"/>
    </row>
    <row r="639" spans="35:35" ht="13" x14ac:dyDescent="0.15">
      <c r="AI639" s="19"/>
    </row>
    <row r="640" spans="35:35" ht="13" x14ac:dyDescent="0.15">
      <c r="AI640" s="19"/>
    </row>
    <row r="641" spans="35:35" ht="13" x14ac:dyDescent="0.15">
      <c r="AI641" s="19"/>
    </row>
    <row r="642" spans="35:35" ht="13" x14ac:dyDescent="0.15">
      <c r="AI642" s="19"/>
    </row>
    <row r="643" spans="35:35" ht="13" x14ac:dyDescent="0.15">
      <c r="AI643" s="19"/>
    </row>
    <row r="644" spans="35:35" ht="13" x14ac:dyDescent="0.15">
      <c r="AI644" s="19"/>
    </row>
    <row r="645" spans="35:35" ht="13" x14ac:dyDescent="0.15">
      <c r="AI645" s="19"/>
    </row>
    <row r="646" spans="35:35" ht="13" x14ac:dyDescent="0.15">
      <c r="AI646" s="19"/>
    </row>
    <row r="647" spans="35:35" ht="13" x14ac:dyDescent="0.15">
      <c r="AI647" s="19"/>
    </row>
    <row r="648" spans="35:35" ht="13" x14ac:dyDescent="0.15">
      <c r="AI648" s="19"/>
    </row>
    <row r="649" spans="35:35" ht="13" x14ac:dyDescent="0.15">
      <c r="AI649" s="19"/>
    </row>
    <row r="650" spans="35:35" ht="13" x14ac:dyDescent="0.15">
      <c r="AI650" s="19"/>
    </row>
    <row r="651" spans="35:35" ht="13" x14ac:dyDescent="0.15">
      <c r="AI651" s="19"/>
    </row>
    <row r="652" spans="35:35" ht="13" x14ac:dyDescent="0.15">
      <c r="AI652" s="19"/>
    </row>
    <row r="653" spans="35:35" ht="13" x14ac:dyDescent="0.15">
      <c r="AI653" s="19"/>
    </row>
    <row r="654" spans="35:35" ht="13" x14ac:dyDescent="0.15">
      <c r="AI654" s="19"/>
    </row>
    <row r="655" spans="35:35" ht="13" x14ac:dyDescent="0.15">
      <c r="AI655" s="19"/>
    </row>
    <row r="656" spans="35:35" ht="13" x14ac:dyDescent="0.15">
      <c r="AI656" s="19"/>
    </row>
    <row r="657" spans="35:35" ht="13" x14ac:dyDescent="0.15">
      <c r="AI657" s="19"/>
    </row>
    <row r="658" spans="35:35" ht="13" x14ac:dyDescent="0.15">
      <c r="AI658" s="19"/>
    </row>
    <row r="659" spans="35:35" ht="13" x14ac:dyDescent="0.15">
      <c r="AI659" s="19"/>
    </row>
    <row r="660" spans="35:35" ht="13" x14ac:dyDescent="0.15">
      <c r="AI660" s="19"/>
    </row>
    <row r="661" spans="35:35" ht="13" x14ac:dyDescent="0.15">
      <c r="AI661" s="19"/>
    </row>
    <row r="662" spans="35:35" ht="13" x14ac:dyDescent="0.15">
      <c r="AI662" s="19"/>
    </row>
    <row r="663" spans="35:35" ht="13" x14ac:dyDescent="0.15">
      <c r="AI663" s="19"/>
    </row>
    <row r="664" spans="35:35" ht="13" x14ac:dyDescent="0.15">
      <c r="AI664" s="19"/>
    </row>
    <row r="665" spans="35:35" ht="13" x14ac:dyDescent="0.15">
      <c r="AI665" s="19"/>
    </row>
    <row r="666" spans="35:35" ht="13" x14ac:dyDescent="0.15">
      <c r="AI666" s="19"/>
    </row>
    <row r="667" spans="35:35" ht="13" x14ac:dyDescent="0.15">
      <c r="AI667" s="19"/>
    </row>
    <row r="668" spans="35:35" ht="13" x14ac:dyDescent="0.15">
      <c r="AI668" s="19"/>
    </row>
    <row r="669" spans="35:35" ht="13" x14ac:dyDescent="0.15">
      <c r="AI669" s="19"/>
    </row>
    <row r="670" spans="35:35" ht="13" x14ac:dyDescent="0.15">
      <c r="AI670" s="19"/>
    </row>
    <row r="671" spans="35:35" ht="13" x14ac:dyDescent="0.15">
      <c r="AI671" s="19"/>
    </row>
    <row r="672" spans="35:35" ht="13" x14ac:dyDescent="0.15">
      <c r="AI672" s="19"/>
    </row>
    <row r="673" spans="35:35" ht="13" x14ac:dyDescent="0.15">
      <c r="AI673" s="19"/>
    </row>
    <row r="674" spans="35:35" ht="13" x14ac:dyDescent="0.15">
      <c r="AI674" s="19"/>
    </row>
    <row r="675" spans="35:35" ht="13" x14ac:dyDescent="0.15">
      <c r="AI675" s="19"/>
    </row>
    <row r="676" spans="35:35" ht="13" x14ac:dyDescent="0.15">
      <c r="AI676" s="19"/>
    </row>
    <row r="677" spans="35:35" ht="13" x14ac:dyDescent="0.15">
      <c r="AI677" s="19"/>
    </row>
    <row r="678" spans="35:35" ht="13" x14ac:dyDescent="0.15">
      <c r="AI678" s="19"/>
    </row>
    <row r="679" spans="35:35" ht="13" x14ac:dyDescent="0.15">
      <c r="AI679" s="19"/>
    </row>
    <row r="680" spans="35:35" ht="13" x14ac:dyDescent="0.15">
      <c r="AI680" s="19"/>
    </row>
    <row r="681" spans="35:35" ht="13" x14ac:dyDescent="0.15">
      <c r="AI681" s="19"/>
    </row>
    <row r="682" spans="35:35" ht="13" x14ac:dyDescent="0.15">
      <c r="AI682" s="19"/>
    </row>
    <row r="683" spans="35:35" ht="13" x14ac:dyDescent="0.15">
      <c r="AI683" s="19"/>
    </row>
    <row r="684" spans="35:35" ht="13" x14ac:dyDescent="0.15">
      <c r="AI684" s="19"/>
    </row>
    <row r="685" spans="35:35" ht="13" x14ac:dyDescent="0.15">
      <c r="AI685" s="19"/>
    </row>
    <row r="686" spans="35:35" ht="13" x14ac:dyDescent="0.15">
      <c r="AI686" s="19"/>
    </row>
    <row r="687" spans="35:35" ht="13" x14ac:dyDescent="0.15">
      <c r="AI687" s="19"/>
    </row>
    <row r="688" spans="35:35" ht="13" x14ac:dyDescent="0.15">
      <c r="AI688" s="19"/>
    </row>
    <row r="689" spans="35:35" ht="13" x14ac:dyDescent="0.15">
      <c r="AI689" s="19"/>
    </row>
    <row r="690" spans="35:35" ht="13" x14ac:dyDescent="0.15">
      <c r="AI690" s="19"/>
    </row>
    <row r="691" spans="35:35" ht="13" x14ac:dyDescent="0.15">
      <c r="AI691" s="19"/>
    </row>
    <row r="692" spans="35:35" ht="13" x14ac:dyDescent="0.15">
      <c r="AI692" s="19"/>
    </row>
    <row r="693" spans="35:35" ht="13" x14ac:dyDescent="0.15">
      <c r="AI693" s="19"/>
    </row>
    <row r="694" spans="35:35" ht="13" x14ac:dyDescent="0.15">
      <c r="AI694" s="19"/>
    </row>
    <row r="695" spans="35:35" ht="13" x14ac:dyDescent="0.15">
      <c r="AI695" s="19"/>
    </row>
    <row r="696" spans="35:35" ht="13" x14ac:dyDescent="0.15">
      <c r="AI696" s="19"/>
    </row>
    <row r="697" spans="35:35" ht="13" x14ac:dyDescent="0.15">
      <c r="AI697" s="19"/>
    </row>
    <row r="698" spans="35:35" ht="13" x14ac:dyDescent="0.15">
      <c r="AI698" s="19"/>
    </row>
    <row r="699" spans="35:35" ht="13" x14ac:dyDescent="0.15">
      <c r="AI699" s="19"/>
    </row>
    <row r="700" spans="35:35" ht="13" x14ac:dyDescent="0.15">
      <c r="AI700" s="19"/>
    </row>
    <row r="701" spans="35:35" ht="13" x14ac:dyDescent="0.15">
      <c r="AI701" s="19"/>
    </row>
    <row r="702" spans="35:35" ht="13" x14ac:dyDescent="0.15">
      <c r="AI702" s="19"/>
    </row>
    <row r="703" spans="35:35" ht="13" x14ac:dyDescent="0.15">
      <c r="AI703" s="19"/>
    </row>
    <row r="704" spans="35:35" ht="13" x14ac:dyDescent="0.15">
      <c r="AI704" s="19"/>
    </row>
    <row r="705" spans="35:35" ht="13" x14ac:dyDescent="0.15">
      <c r="AI705" s="19"/>
    </row>
    <row r="706" spans="35:35" ht="13" x14ac:dyDescent="0.15">
      <c r="AI706" s="19"/>
    </row>
    <row r="707" spans="35:35" ht="13" x14ac:dyDescent="0.15">
      <c r="AI707" s="19"/>
    </row>
    <row r="708" spans="35:35" ht="13" x14ac:dyDescent="0.15">
      <c r="AI708" s="19"/>
    </row>
    <row r="709" spans="35:35" ht="13" x14ac:dyDescent="0.15">
      <c r="AI709" s="19"/>
    </row>
    <row r="710" spans="35:35" ht="13" x14ac:dyDescent="0.15">
      <c r="AI710" s="19"/>
    </row>
    <row r="711" spans="35:35" ht="13" x14ac:dyDescent="0.15">
      <c r="AI711" s="19"/>
    </row>
    <row r="712" spans="35:35" ht="13" x14ac:dyDescent="0.15">
      <c r="AI712" s="19"/>
    </row>
    <row r="713" spans="35:35" ht="13" x14ac:dyDescent="0.15">
      <c r="AI713" s="19"/>
    </row>
    <row r="714" spans="35:35" ht="13" x14ac:dyDescent="0.15">
      <c r="AI714" s="19"/>
    </row>
    <row r="715" spans="35:35" ht="13" x14ac:dyDescent="0.15">
      <c r="AI715" s="19"/>
    </row>
    <row r="716" spans="35:35" ht="13" x14ac:dyDescent="0.15">
      <c r="AI716" s="19"/>
    </row>
    <row r="717" spans="35:35" ht="13" x14ac:dyDescent="0.15">
      <c r="AI717" s="19"/>
    </row>
    <row r="718" spans="35:35" ht="13" x14ac:dyDescent="0.15">
      <c r="AI718" s="19"/>
    </row>
    <row r="719" spans="35:35" ht="13" x14ac:dyDescent="0.15">
      <c r="AI719" s="19"/>
    </row>
    <row r="720" spans="35:35" ht="13" x14ac:dyDescent="0.15">
      <c r="AI720" s="19"/>
    </row>
    <row r="721" spans="35:35" ht="13" x14ac:dyDescent="0.15">
      <c r="AI721" s="19"/>
    </row>
    <row r="722" spans="35:35" ht="13" x14ac:dyDescent="0.15">
      <c r="AI722" s="19"/>
    </row>
    <row r="723" spans="35:35" ht="13" x14ac:dyDescent="0.15">
      <c r="AI723" s="19"/>
    </row>
    <row r="724" spans="35:35" ht="13" x14ac:dyDescent="0.15">
      <c r="AI724" s="19"/>
    </row>
    <row r="725" spans="35:35" ht="13" x14ac:dyDescent="0.15">
      <c r="AI725" s="19"/>
    </row>
    <row r="726" spans="35:35" ht="13" x14ac:dyDescent="0.15">
      <c r="AI726" s="19"/>
    </row>
    <row r="727" spans="35:35" ht="13" x14ac:dyDescent="0.15">
      <c r="AI727" s="19"/>
    </row>
    <row r="728" spans="35:35" ht="13" x14ac:dyDescent="0.15">
      <c r="AI728" s="19"/>
    </row>
    <row r="729" spans="35:35" ht="13" x14ac:dyDescent="0.15">
      <c r="AI729" s="19"/>
    </row>
    <row r="730" spans="35:35" ht="13" x14ac:dyDescent="0.15">
      <c r="AI730" s="19"/>
    </row>
    <row r="731" spans="35:35" ht="13" x14ac:dyDescent="0.15">
      <c r="AI731" s="19"/>
    </row>
    <row r="732" spans="35:35" ht="13" x14ac:dyDescent="0.15">
      <c r="AI732" s="19"/>
    </row>
    <row r="733" spans="35:35" ht="13" x14ac:dyDescent="0.15">
      <c r="AI733" s="19"/>
    </row>
    <row r="734" spans="35:35" ht="13" x14ac:dyDescent="0.15">
      <c r="AI734" s="19"/>
    </row>
    <row r="735" spans="35:35" ht="13" x14ac:dyDescent="0.15">
      <c r="AI735" s="19"/>
    </row>
    <row r="736" spans="35:35" ht="13" x14ac:dyDescent="0.15">
      <c r="AI736" s="19"/>
    </row>
    <row r="737" spans="35:35" ht="13" x14ac:dyDescent="0.15">
      <c r="AI737" s="19"/>
    </row>
    <row r="738" spans="35:35" ht="13" x14ac:dyDescent="0.15">
      <c r="AI738" s="19"/>
    </row>
    <row r="739" spans="35:35" ht="13" x14ac:dyDescent="0.15">
      <c r="AI739" s="19"/>
    </row>
    <row r="740" spans="35:35" ht="13" x14ac:dyDescent="0.15">
      <c r="AI740" s="19"/>
    </row>
    <row r="741" spans="35:35" ht="13" x14ac:dyDescent="0.15">
      <c r="AI741" s="19"/>
    </row>
    <row r="742" spans="35:35" ht="13" x14ac:dyDescent="0.15">
      <c r="AI742" s="19"/>
    </row>
    <row r="743" spans="35:35" ht="13" x14ac:dyDescent="0.15">
      <c r="AI743" s="19"/>
    </row>
    <row r="744" spans="35:35" ht="13" x14ac:dyDescent="0.15">
      <c r="AI744" s="19"/>
    </row>
    <row r="745" spans="35:35" ht="13" x14ac:dyDescent="0.15">
      <c r="AI745" s="19"/>
    </row>
    <row r="746" spans="35:35" ht="13" x14ac:dyDescent="0.15">
      <c r="AI746" s="19"/>
    </row>
    <row r="747" spans="35:35" ht="13" x14ac:dyDescent="0.15">
      <c r="AI747" s="19"/>
    </row>
    <row r="748" spans="35:35" ht="13" x14ac:dyDescent="0.15">
      <c r="AI748" s="19"/>
    </row>
    <row r="749" spans="35:35" ht="13" x14ac:dyDescent="0.15">
      <c r="AI749" s="19"/>
    </row>
    <row r="750" spans="35:35" ht="13" x14ac:dyDescent="0.15">
      <c r="AI750" s="19"/>
    </row>
    <row r="751" spans="35:35" ht="13" x14ac:dyDescent="0.15">
      <c r="AI751" s="19"/>
    </row>
    <row r="752" spans="35:35" ht="13" x14ac:dyDescent="0.15">
      <c r="AI752" s="19"/>
    </row>
    <row r="753" spans="35:35" ht="13" x14ac:dyDescent="0.15">
      <c r="AI753" s="19"/>
    </row>
    <row r="754" spans="35:35" ht="13" x14ac:dyDescent="0.15">
      <c r="AI754" s="19"/>
    </row>
    <row r="755" spans="35:35" ht="13" x14ac:dyDescent="0.15">
      <c r="AI755" s="19"/>
    </row>
    <row r="756" spans="35:35" ht="13" x14ac:dyDescent="0.15">
      <c r="AI756" s="19"/>
    </row>
    <row r="757" spans="35:35" ht="13" x14ac:dyDescent="0.15">
      <c r="AI757" s="19"/>
    </row>
    <row r="758" spans="35:35" ht="13" x14ac:dyDescent="0.15">
      <c r="AI758" s="19"/>
    </row>
    <row r="759" spans="35:35" ht="13" x14ac:dyDescent="0.15">
      <c r="AI759" s="19"/>
    </row>
    <row r="760" spans="35:35" ht="13" x14ac:dyDescent="0.15">
      <c r="AI760" s="19"/>
    </row>
    <row r="761" spans="35:35" ht="13" x14ac:dyDescent="0.15">
      <c r="AI761" s="19"/>
    </row>
    <row r="762" spans="35:35" ht="13" x14ac:dyDescent="0.15">
      <c r="AI762" s="19"/>
    </row>
    <row r="763" spans="35:35" ht="13" x14ac:dyDescent="0.15">
      <c r="AI763" s="19"/>
    </row>
    <row r="764" spans="35:35" ht="13" x14ac:dyDescent="0.15">
      <c r="AI764" s="19"/>
    </row>
    <row r="765" spans="35:35" ht="13" x14ac:dyDescent="0.15">
      <c r="AI765" s="19"/>
    </row>
    <row r="766" spans="35:35" ht="13" x14ac:dyDescent="0.15">
      <c r="AI766" s="19"/>
    </row>
    <row r="767" spans="35:35" ht="13" x14ac:dyDescent="0.15">
      <c r="AI767" s="19"/>
    </row>
    <row r="768" spans="35:35" ht="13" x14ac:dyDescent="0.15">
      <c r="AI768" s="19"/>
    </row>
    <row r="769" spans="35:35" ht="13" x14ac:dyDescent="0.15">
      <c r="AI769" s="19"/>
    </row>
    <row r="770" spans="35:35" ht="13" x14ac:dyDescent="0.15">
      <c r="AI770" s="19"/>
    </row>
    <row r="771" spans="35:35" ht="13" x14ac:dyDescent="0.15">
      <c r="AI771" s="19"/>
    </row>
    <row r="772" spans="35:35" ht="13" x14ac:dyDescent="0.15">
      <c r="AI772" s="19"/>
    </row>
    <row r="773" spans="35:35" ht="13" x14ac:dyDescent="0.15">
      <c r="AI773" s="19"/>
    </row>
    <row r="774" spans="35:35" ht="13" x14ac:dyDescent="0.15">
      <c r="AI774" s="19"/>
    </row>
    <row r="775" spans="35:35" ht="13" x14ac:dyDescent="0.15">
      <c r="AI775" s="19"/>
    </row>
    <row r="776" spans="35:35" ht="13" x14ac:dyDescent="0.15">
      <c r="AI776" s="19"/>
    </row>
    <row r="777" spans="35:35" ht="13" x14ac:dyDescent="0.15">
      <c r="AI777" s="19"/>
    </row>
    <row r="778" spans="35:35" ht="13" x14ac:dyDescent="0.15">
      <c r="AI778" s="19"/>
    </row>
    <row r="779" spans="35:35" ht="13" x14ac:dyDescent="0.15">
      <c r="AI779" s="19"/>
    </row>
    <row r="780" spans="35:35" ht="13" x14ac:dyDescent="0.15">
      <c r="AI780" s="19"/>
    </row>
    <row r="781" spans="35:35" ht="13" x14ac:dyDescent="0.15">
      <c r="AI781" s="19"/>
    </row>
    <row r="782" spans="35:35" ht="13" x14ac:dyDescent="0.15">
      <c r="AI782" s="19"/>
    </row>
    <row r="783" spans="35:35" ht="13" x14ac:dyDescent="0.15">
      <c r="AI783" s="19"/>
    </row>
    <row r="784" spans="35:35" ht="13" x14ac:dyDescent="0.15">
      <c r="AI784" s="19"/>
    </row>
    <row r="785" spans="35:35" ht="13" x14ac:dyDescent="0.15">
      <c r="AI785" s="19"/>
    </row>
    <row r="786" spans="35:35" ht="13" x14ac:dyDescent="0.15">
      <c r="AI786" s="19"/>
    </row>
    <row r="787" spans="35:35" ht="13" x14ac:dyDescent="0.15">
      <c r="AI787" s="19"/>
    </row>
    <row r="788" spans="35:35" ht="13" x14ac:dyDescent="0.15">
      <c r="AI788" s="19"/>
    </row>
    <row r="789" spans="35:35" ht="13" x14ac:dyDescent="0.15">
      <c r="AI789" s="19"/>
    </row>
    <row r="790" spans="35:35" ht="13" x14ac:dyDescent="0.15">
      <c r="AI790" s="19"/>
    </row>
    <row r="791" spans="35:35" ht="13" x14ac:dyDescent="0.15">
      <c r="AI791" s="19"/>
    </row>
    <row r="792" spans="35:35" ht="13" x14ac:dyDescent="0.15">
      <c r="AI792" s="19"/>
    </row>
    <row r="793" spans="35:35" ht="13" x14ac:dyDescent="0.15">
      <c r="AI793" s="19"/>
    </row>
    <row r="794" spans="35:35" ht="13" x14ac:dyDescent="0.15">
      <c r="AI794" s="19"/>
    </row>
    <row r="795" spans="35:35" ht="13" x14ac:dyDescent="0.15">
      <c r="AI795" s="19"/>
    </row>
    <row r="796" spans="35:35" ht="13" x14ac:dyDescent="0.15">
      <c r="AI796" s="19"/>
    </row>
    <row r="797" spans="35:35" ht="13" x14ac:dyDescent="0.15">
      <c r="AI797" s="19"/>
    </row>
    <row r="798" spans="35:35" ht="13" x14ac:dyDescent="0.15">
      <c r="AI798" s="19"/>
    </row>
    <row r="799" spans="35:35" ht="13" x14ac:dyDescent="0.15">
      <c r="AI799" s="19"/>
    </row>
    <row r="800" spans="35:35" ht="13" x14ac:dyDescent="0.15">
      <c r="AI800" s="19"/>
    </row>
    <row r="801" spans="35:35" ht="13" x14ac:dyDescent="0.15">
      <c r="AI801" s="19"/>
    </row>
    <row r="802" spans="35:35" ht="13" x14ac:dyDescent="0.15">
      <c r="AI802" s="19"/>
    </row>
    <row r="803" spans="35:35" ht="13" x14ac:dyDescent="0.15">
      <c r="AI803" s="19"/>
    </row>
    <row r="804" spans="35:35" ht="13" x14ac:dyDescent="0.15">
      <c r="AI804" s="19"/>
    </row>
    <row r="805" spans="35:35" ht="13" x14ac:dyDescent="0.15">
      <c r="AI805" s="19"/>
    </row>
    <row r="806" spans="35:35" ht="13" x14ac:dyDescent="0.15">
      <c r="AI806" s="19"/>
    </row>
    <row r="807" spans="35:35" ht="13" x14ac:dyDescent="0.15">
      <c r="AI807" s="19"/>
    </row>
    <row r="808" spans="35:35" ht="13" x14ac:dyDescent="0.15">
      <c r="AI808" s="19"/>
    </row>
    <row r="809" spans="35:35" ht="13" x14ac:dyDescent="0.15">
      <c r="AI809" s="19"/>
    </row>
    <row r="810" spans="35:35" ht="13" x14ac:dyDescent="0.15">
      <c r="AI810" s="19"/>
    </row>
    <row r="811" spans="35:35" ht="13" x14ac:dyDescent="0.15">
      <c r="AI811" s="19"/>
    </row>
    <row r="812" spans="35:35" ht="13" x14ac:dyDescent="0.15">
      <c r="AI812" s="19"/>
    </row>
    <row r="813" spans="35:35" ht="13" x14ac:dyDescent="0.15">
      <c r="AI813" s="19"/>
    </row>
    <row r="814" spans="35:35" ht="13" x14ac:dyDescent="0.15">
      <c r="AI814" s="19"/>
    </row>
    <row r="815" spans="35:35" ht="13" x14ac:dyDescent="0.15">
      <c r="AI815" s="19"/>
    </row>
    <row r="816" spans="35:35" ht="13" x14ac:dyDescent="0.15">
      <c r="AI816" s="19"/>
    </row>
    <row r="817" spans="35:35" ht="13" x14ac:dyDescent="0.15">
      <c r="AI817" s="19"/>
    </row>
    <row r="818" spans="35:35" ht="13" x14ac:dyDescent="0.15">
      <c r="AI818" s="19"/>
    </row>
    <row r="819" spans="35:35" ht="13" x14ac:dyDescent="0.15">
      <c r="AI819" s="19"/>
    </row>
    <row r="820" spans="35:35" ht="13" x14ac:dyDescent="0.15">
      <c r="AI820" s="19"/>
    </row>
    <row r="821" spans="35:35" ht="13" x14ac:dyDescent="0.15">
      <c r="AI821" s="19"/>
    </row>
    <row r="822" spans="35:35" ht="13" x14ac:dyDescent="0.15">
      <c r="AI822" s="19"/>
    </row>
    <row r="823" spans="35:35" ht="13" x14ac:dyDescent="0.15">
      <c r="AI823" s="19"/>
    </row>
    <row r="824" spans="35:35" ht="13" x14ac:dyDescent="0.15">
      <c r="AI824" s="19"/>
    </row>
    <row r="825" spans="35:35" ht="13" x14ac:dyDescent="0.15">
      <c r="AI825" s="19"/>
    </row>
    <row r="826" spans="35:35" ht="13" x14ac:dyDescent="0.15">
      <c r="AI826" s="19"/>
    </row>
    <row r="827" spans="35:35" ht="13" x14ac:dyDescent="0.15">
      <c r="AI827" s="19"/>
    </row>
    <row r="828" spans="35:35" ht="13" x14ac:dyDescent="0.15">
      <c r="AI828" s="19"/>
    </row>
    <row r="829" spans="35:35" ht="13" x14ac:dyDescent="0.15">
      <c r="AI829" s="19"/>
    </row>
    <row r="830" spans="35:35" ht="13" x14ac:dyDescent="0.15">
      <c r="AI830" s="19"/>
    </row>
    <row r="831" spans="35:35" ht="13" x14ac:dyDescent="0.15">
      <c r="AI831" s="19"/>
    </row>
    <row r="832" spans="35:35" ht="13" x14ac:dyDescent="0.15">
      <c r="AI832" s="19"/>
    </row>
    <row r="833" spans="35:35" ht="13" x14ac:dyDescent="0.15">
      <c r="AI833" s="19"/>
    </row>
    <row r="834" spans="35:35" ht="13" x14ac:dyDescent="0.15">
      <c r="AI834" s="19"/>
    </row>
    <row r="835" spans="35:35" ht="13" x14ac:dyDescent="0.15">
      <c r="AI835" s="19"/>
    </row>
    <row r="836" spans="35:35" ht="13" x14ac:dyDescent="0.15">
      <c r="AI836" s="19"/>
    </row>
    <row r="837" spans="35:35" ht="13" x14ac:dyDescent="0.15">
      <c r="AI837" s="19"/>
    </row>
    <row r="838" spans="35:35" ht="13" x14ac:dyDescent="0.15">
      <c r="AI838" s="19"/>
    </row>
    <row r="839" spans="35:35" ht="13" x14ac:dyDescent="0.15">
      <c r="AI839" s="19"/>
    </row>
    <row r="840" spans="35:35" ht="13" x14ac:dyDescent="0.15">
      <c r="AI840" s="19"/>
    </row>
    <row r="841" spans="35:35" ht="13" x14ac:dyDescent="0.15">
      <c r="AI841" s="19"/>
    </row>
    <row r="842" spans="35:35" ht="13" x14ac:dyDescent="0.15">
      <c r="AI842" s="19"/>
    </row>
    <row r="843" spans="35:35" ht="13" x14ac:dyDescent="0.15">
      <c r="AI843" s="19"/>
    </row>
    <row r="844" spans="35:35" ht="13" x14ac:dyDescent="0.15">
      <c r="AI844" s="19"/>
    </row>
    <row r="845" spans="35:35" ht="13" x14ac:dyDescent="0.15">
      <c r="AI845" s="19"/>
    </row>
    <row r="846" spans="35:35" ht="13" x14ac:dyDescent="0.15">
      <c r="AI846" s="19"/>
    </row>
    <row r="847" spans="35:35" ht="13" x14ac:dyDescent="0.15">
      <c r="AI847" s="19"/>
    </row>
    <row r="848" spans="35:35" ht="13" x14ac:dyDescent="0.15">
      <c r="AI848" s="19"/>
    </row>
    <row r="849" spans="35:35" ht="13" x14ac:dyDescent="0.15">
      <c r="AI849" s="19"/>
    </row>
    <row r="850" spans="35:35" ht="13" x14ac:dyDescent="0.15">
      <c r="AI850" s="19"/>
    </row>
    <row r="851" spans="35:35" ht="13" x14ac:dyDescent="0.15">
      <c r="AI851" s="19"/>
    </row>
    <row r="852" spans="35:35" ht="13" x14ac:dyDescent="0.15">
      <c r="AI852" s="19"/>
    </row>
    <row r="853" spans="35:35" ht="13" x14ac:dyDescent="0.15">
      <c r="AI853" s="19"/>
    </row>
    <row r="854" spans="35:35" ht="13" x14ac:dyDescent="0.15">
      <c r="AI854" s="19"/>
    </row>
    <row r="855" spans="35:35" ht="13" x14ac:dyDescent="0.15">
      <c r="AI855" s="19"/>
    </row>
    <row r="856" spans="35:35" ht="13" x14ac:dyDescent="0.15">
      <c r="AI856" s="19"/>
    </row>
    <row r="857" spans="35:35" ht="13" x14ac:dyDescent="0.15">
      <c r="AI857" s="19"/>
    </row>
    <row r="858" spans="35:35" ht="13" x14ac:dyDescent="0.15">
      <c r="AI858" s="19"/>
    </row>
    <row r="859" spans="35:35" ht="13" x14ac:dyDescent="0.15">
      <c r="AI859" s="19"/>
    </row>
    <row r="860" spans="35:35" ht="13" x14ac:dyDescent="0.15">
      <c r="AI860" s="19"/>
    </row>
    <row r="861" spans="35:35" ht="13" x14ac:dyDescent="0.15">
      <c r="AI861" s="19"/>
    </row>
    <row r="862" spans="35:35" ht="13" x14ac:dyDescent="0.15">
      <c r="AI862" s="19"/>
    </row>
    <row r="863" spans="35:35" ht="13" x14ac:dyDescent="0.15">
      <c r="AI863" s="19"/>
    </row>
    <row r="864" spans="35:35" ht="13" x14ac:dyDescent="0.15">
      <c r="AI864" s="19"/>
    </row>
    <row r="865" spans="35:35" ht="13" x14ac:dyDescent="0.15">
      <c r="AI865" s="19"/>
    </row>
    <row r="866" spans="35:35" ht="13" x14ac:dyDescent="0.15">
      <c r="AI866" s="19"/>
    </row>
    <row r="867" spans="35:35" ht="13" x14ac:dyDescent="0.15">
      <c r="AI867" s="19"/>
    </row>
    <row r="868" spans="35:35" ht="13" x14ac:dyDescent="0.15">
      <c r="AI868" s="19"/>
    </row>
    <row r="869" spans="35:35" ht="13" x14ac:dyDescent="0.15">
      <c r="AI869" s="19"/>
    </row>
    <row r="870" spans="35:35" ht="13" x14ac:dyDescent="0.15">
      <c r="AI870" s="19"/>
    </row>
    <row r="871" spans="35:35" ht="13" x14ac:dyDescent="0.15">
      <c r="AI871" s="19"/>
    </row>
    <row r="872" spans="35:35" ht="13" x14ac:dyDescent="0.15">
      <c r="AI872" s="19"/>
    </row>
    <row r="873" spans="35:35" ht="13" x14ac:dyDescent="0.15">
      <c r="AI873" s="19"/>
    </row>
    <row r="874" spans="35:35" ht="13" x14ac:dyDescent="0.15">
      <c r="AI874" s="19"/>
    </row>
    <row r="875" spans="35:35" ht="13" x14ac:dyDescent="0.15">
      <c r="AI875" s="19"/>
    </row>
    <row r="876" spans="35:35" ht="13" x14ac:dyDescent="0.15">
      <c r="AI876" s="19"/>
    </row>
    <row r="877" spans="35:35" ht="13" x14ac:dyDescent="0.15">
      <c r="AI877" s="19"/>
    </row>
    <row r="878" spans="35:35" ht="13" x14ac:dyDescent="0.15">
      <c r="AI878" s="19"/>
    </row>
    <row r="879" spans="35:35" ht="13" x14ac:dyDescent="0.15">
      <c r="AI879" s="19"/>
    </row>
    <row r="880" spans="35:35" ht="13" x14ac:dyDescent="0.15">
      <c r="AI880" s="19"/>
    </row>
    <row r="881" spans="35:35" ht="13" x14ac:dyDescent="0.15">
      <c r="AI881" s="19"/>
    </row>
    <row r="882" spans="35:35" ht="13" x14ac:dyDescent="0.15">
      <c r="AI882" s="19"/>
    </row>
    <row r="883" spans="35:35" ht="13" x14ac:dyDescent="0.15">
      <c r="AI883" s="19"/>
    </row>
    <row r="884" spans="35:35" ht="13" x14ac:dyDescent="0.15">
      <c r="AI884" s="19"/>
    </row>
    <row r="885" spans="35:35" ht="13" x14ac:dyDescent="0.15">
      <c r="AI885" s="19"/>
    </row>
    <row r="886" spans="35:35" ht="13" x14ac:dyDescent="0.15">
      <c r="AI886" s="19"/>
    </row>
    <row r="887" spans="35:35" ht="13" x14ac:dyDescent="0.15">
      <c r="AI887" s="19"/>
    </row>
    <row r="888" spans="35:35" ht="13" x14ac:dyDescent="0.15">
      <c r="AI888" s="19"/>
    </row>
    <row r="889" spans="35:35" ht="13" x14ac:dyDescent="0.15">
      <c r="AI889" s="19"/>
    </row>
    <row r="890" spans="35:35" ht="13" x14ac:dyDescent="0.15">
      <c r="AI890" s="19"/>
    </row>
    <row r="891" spans="35:35" ht="13" x14ac:dyDescent="0.15">
      <c r="AI891" s="19"/>
    </row>
    <row r="892" spans="35:35" ht="13" x14ac:dyDescent="0.15">
      <c r="AI892" s="19"/>
    </row>
    <row r="893" spans="35:35" ht="13" x14ac:dyDescent="0.15">
      <c r="AI893" s="19"/>
    </row>
    <row r="894" spans="35:35" ht="13" x14ac:dyDescent="0.15">
      <c r="AI894" s="19"/>
    </row>
    <row r="895" spans="35:35" ht="13" x14ac:dyDescent="0.15">
      <c r="AI895" s="19"/>
    </row>
    <row r="896" spans="35:35" ht="13" x14ac:dyDescent="0.15">
      <c r="AI896" s="19"/>
    </row>
    <row r="897" spans="35:35" ht="13" x14ac:dyDescent="0.15">
      <c r="AI897" s="19"/>
    </row>
    <row r="898" spans="35:35" ht="13" x14ac:dyDescent="0.15">
      <c r="AI898" s="19"/>
    </row>
    <row r="899" spans="35:35" ht="13" x14ac:dyDescent="0.15">
      <c r="AI899" s="19"/>
    </row>
    <row r="900" spans="35:35" ht="13" x14ac:dyDescent="0.15">
      <c r="AI900" s="19"/>
    </row>
    <row r="901" spans="35:35" ht="13" x14ac:dyDescent="0.15">
      <c r="AI901" s="19"/>
    </row>
    <row r="902" spans="35:35" ht="13" x14ac:dyDescent="0.15">
      <c r="AI902" s="19"/>
    </row>
    <row r="903" spans="35:35" ht="13" x14ac:dyDescent="0.15">
      <c r="AI903" s="19"/>
    </row>
    <row r="904" spans="35:35" ht="13" x14ac:dyDescent="0.15">
      <c r="AI904" s="19"/>
    </row>
    <row r="905" spans="35:35" ht="13" x14ac:dyDescent="0.15">
      <c r="AI905" s="19"/>
    </row>
    <row r="906" spans="35:35" ht="13" x14ac:dyDescent="0.15">
      <c r="AI906" s="19"/>
    </row>
    <row r="907" spans="35:35" ht="13" x14ac:dyDescent="0.15">
      <c r="AI907" s="19"/>
    </row>
    <row r="908" spans="35:35" ht="13" x14ac:dyDescent="0.15">
      <c r="AI908" s="19"/>
    </row>
    <row r="909" spans="35:35" ht="13" x14ac:dyDescent="0.15">
      <c r="AI909" s="19"/>
    </row>
    <row r="910" spans="35:35" ht="13" x14ac:dyDescent="0.15">
      <c r="AI910" s="19"/>
    </row>
    <row r="911" spans="35:35" ht="13" x14ac:dyDescent="0.15">
      <c r="AI911" s="19"/>
    </row>
    <row r="912" spans="35:35" ht="13" x14ac:dyDescent="0.15">
      <c r="AI912" s="19"/>
    </row>
    <row r="913" spans="35:35" ht="13" x14ac:dyDescent="0.15">
      <c r="AI913" s="19"/>
    </row>
    <row r="914" spans="35:35" ht="13" x14ac:dyDescent="0.15">
      <c r="AI914" s="19"/>
    </row>
    <row r="915" spans="35:35" ht="13" x14ac:dyDescent="0.15">
      <c r="AI915" s="19"/>
    </row>
    <row r="916" spans="35:35" ht="13" x14ac:dyDescent="0.15">
      <c r="AI916" s="19"/>
    </row>
    <row r="917" spans="35:35" ht="13" x14ac:dyDescent="0.15">
      <c r="AI917" s="19"/>
    </row>
    <row r="918" spans="35:35" ht="13" x14ac:dyDescent="0.15">
      <c r="AI918" s="19"/>
    </row>
    <row r="919" spans="35:35" ht="13" x14ac:dyDescent="0.15">
      <c r="AI919" s="19"/>
    </row>
    <row r="920" spans="35:35" ht="13" x14ac:dyDescent="0.15">
      <c r="AI920" s="19"/>
    </row>
    <row r="921" spans="35:35" ht="13" x14ac:dyDescent="0.15">
      <c r="AI921" s="19"/>
    </row>
    <row r="922" spans="35:35" ht="13" x14ac:dyDescent="0.15">
      <c r="AI922" s="19"/>
    </row>
    <row r="923" spans="35:35" ht="13" x14ac:dyDescent="0.15">
      <c r="AI923" s="19"/>
    </row>
    <row r="924" spans="35:35" ht="13" x14ac:dyDescent="0.15">
      <c r="AI924" s="19"/>
    </row>
    <row r="925" spans="35:35" ht="13" x14ac:dyDescent="0.15">
      <c r="AI925" s="19"/>
    </row>
    <row r="926" spans="35:35" ht="13" x14ac:dyDescent="0.15">
      <c r="AI926" s="19"/>
    </row>
    <row r="927" spans="35:35" ht="13" x14ac:dyDescent="0.15">
      <c r="AI927" s="19"/>
    </row>
    <row r="928" spans="35:35" ht="13" x14ac:dyDescent="0.15">
      <c r="AI928" s="19"/>
    </row>
    <row r="929" spans="35:35" ht="13" x14ac:dyDescent="0.15">
      <c r="AI929" s="19"/>
    </row>
    <row r="930" spans="35:35" ht="13" x14ac:dyDescent="0.15">
      <c r="AI930" s="19"/>
    </row>
    <row r="931" spans="35:35" ht="13" x14ac:dyDescent="0.15">
      <c r="AI931" s="19"/>
    </row>
    <row r="932" spans="35:35" ht="13" x14ac:dyDescent="0.15">
      <c r="AI932" s="19"/>
    </row>
    <row r="933" spans="35:35" ht="13" x14ac:dyDescent="0.15">
      <c r="AI933" s="19"/>
    </row>
    <row r="934" spans="35:35" ht="13" x14ac:dyDescent="0.15">
      <c r="AI934" s="19"/>
    </row>
    <row r="935" spans="35:35" ht="13" x14ac:dyDescent="0.15">
      <c r="AI935" s="19"/>
    </row>
    <row r="936" spans="35:35" ht="13" x14ac:dyDescent="0.15">
      <c r="AI936" s="19"/>
    </row>
    <row r="937" spans="35:35" ht="13" x14ac:dyDescent="0.15">
      <c r="AI937" s="19"/>
    </row>
    <row r="938" spans="35:35" ht="13" x14ac:dyDescent="0.15">
      <c r="AI938" s="19"/>
    </row>
    <row r="939" spans="35:35" ht="13" x14ac:dyDescent="0.15">
      <c r="AI939" s="19"/>
    </row>
    <row r="940" spans="35:35" ht="13" x14ac:dyDescent="0.15">
      <c r="AI940" s="19"/>
    </row>
    <row r="941" spans="35:35" ht="13" x14ac:dyDescent="0.15">
      <c r="AI941" s="19"/>
    </row>
    <row r="942" spans="35:35" ht="13" x14ac:dyDescent="0.15">
      <c r="AI942" s="19"/>
    </row>
    <row r="943" spans="35:35" ht="13" x14ac:dyDescent="0.15">
      <c r="AI943" s="19"/>
    </row>
    <row r="944" spans="35:35" ht="13" x14ac:dyDescent="0.15">
      <c r="AI944" s="19"/>
    </row>
    <row r="945" spans="35:35" ht="13" x14ac:dyDescent="0.15">
      <c r="AI945" s="19"/>
    </row>
    <row r="946" spans="35:35" ht="13" x14ac:dyDescent="0.15">
      <c r="AI946" s="19"/>
    </row>
    <row r="947" spans="35:35" ht="13" x14ac:dyDescent="0.15">
      <c r="AI947" s="19"/>
    </row>
    <row r="948" spans="35:35" ht="13" x14ac:dyDescent="0.15">
      <c r="AI948" s="19"/>
    </row>
    <row r="949" spans="35:35" ht="13" x14ac:dyDescent="0.15">
      <c r="AI949" s="19"/>
    </row>
    <row r="950" spans="35:35" ht="13" x14ac:dyDescent="0.15">
      <c r="AI950" s="19"/>
    </row>
    <row r="951" spans="35:35" ht="13" x14ac:dyDescent="0.15">
      <c r="AI951" s="19"/>
    </row>
    <row r="952" spans="35:35" ht="13" x14ac:dyDescent="0.15">
      <c r="AI952" s="19"/>
    </row>
    <row r="953" spans="35:35" ht="13" x14ac:dyDescent="0.15">
      <c r="AI953" s="19"/>
    </row>
    <row r="954" spans="35:35" ht="13" x14ac:dyDescent="0.15">
      <c r="AI954" s="19"/>
    </row>
    <row r="955" spans="35:35" ht="13" x14ac:dyDescent="0.15">
      <c r="AI955" s="19"/>
    </row>
    <row r="956" spans="35:35" ht="13" x14ac:dyDescent="0.15">
      <c r="AI956" s="19"/>
    </row>
    <row r="957" spans="35:35" ht="13" x14ac:dyDescent="0.15">
      <c r="AI957" s="19"/>
    </row>
  </sheetData>
  <autoFilter ref="A3:AI3" xr:uid="{00000000-0009-0000-0000-000000000000}"/>
  <customSheetViews>
    <customSheetView guid="{8DD274BA-7711-434E-BA5B-5A3C3CA953AD}" filter="1" showAutoFilter="1">
      <pageMargins left="0.7" right="0.7" top="0.75" bottom="0.75" header="0.3" footer="0.3"/>
      <autoFilter ref="A3:AI3" xr:uid="{EBE8A88E-68C0-A449-98C9-3DA3C8B7FE2D}"/>
    </customSheetView>
  </customSheetViews>
  <mergeCells count="6">
    <mergeCell ref="AF1:AH1"/>
    <mergeCell ref="F1:I1"/>
    <mergeCell ref="J1:N1"/>
    <mergeCell ref="O1:T1"/>
    <mergeCell ref="V1:Y1"/>
    <mergeCell ref="AB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443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4.5" defaultRowHeight="15.75" customHeight="1" x14ac:dyDescent="0.15"/>
  <cols>
    <col min="1" max="1" width="5.1640625" customWidth="1"/>
    <col min="2" max="2" width="23" customWidth="1"/>
    <col min="3" max="3" width="30.5" customWidth="1"/>
    <col min="4" max="4" width="9.1640625" customWidth="1"/>
    <col min="5" max="5" width="16.6640625" customWidth="1"/>
    <col min="6" max="6" width="10.83203125" customWidth="1"/>
    <col min="7" max="7" width="19.33203125" customWidth="1"/>
    <col min="8" max="8" width="5.1640625" customWidth="1"/>
    <col min="9" max="9" width="10.5" customWidth="1"/>
    <col min="10" max="10" width="52" customWidth="1"/>
    <col min="11" max="11" width="13.83203125" customWidth="1"/>
    <col min="12" max="12" width="20.33203125" customWidth="1"/>
    <col min="13" max="13" width="13.5" customWidth="1"/>
    <col min="14" max="14" width="9.5" customWidth="1"/>
    <col min="15" max="15" width="15.83203125" customWidth="1"/>
    <col min="16" max="16" width="22.1640625" customWidth="1"/>
    <col min="17" max="17" width="14" customWidth="1"/>
    <col min="18" max="18" width="23.5" customWidth="1"/>
    <col min="19" max="19" width="19.6640625" customWidth="1"/>
    <col min="20" max="20" width="8.33203125" customWidth="1"/>
    <col min="21" max="21" width="21.5" customWidth="1"/>
    <col min="22" max="22" width="9.83203125" customWidth="1"/>
    <col min="23" max="23" width="6.33203125" customWidth="1"/>
    <col min="24" max="24" width="11" customWidth="1"/>
    <col min="25" max="25" width="14.1640625" customWidth="1"/>
    <col min="26" max="26" width="39" customWidth="1"/>
    <col min="27" max="27" width="10.33203125" customWidth="1"/>
    <col min="28" max="28" width="10.1640625" customWidth="1"/>
    <col min="29" max="29" width="21.83203125" customWidth="1"/>
    <col min="30" max="30" width="14.6640625" customWidth="1"/>
    <col min="31" max="31" width="80.33203125" customWidth="1"/>
    <col min="32" max="32" width="10.1640625" customWidth="1"/>
    <col min="33" max="33" width="21.83203125" customWidth="1"/>
    <col min="34" max="34" width="14.6640625" customWidth="1"/>
    <col min="35" max="35" width="18" customWidth="1"/>
  </cols>
  <sheetData>
    <row r="1" spans="1:35" ht="15.75" customHeight="1" x14ac:dyDescent="0.15">
      <c r="A1" s="1"/>
      <c r="B1" s="2"/>
      <c r="C1" s="2"/>
      <c r="D1" s="2"/>
      <c r="E1" s="2"/>
      <c r="F1" s="38"/>
      <c r="G1" s="36"/>
      <c r="H1" s="36"/>
      <c r="I1" s="36"/>
      <c r="J1" s="35" t="s">
        <v>0</v>
      </c>
      <c r="K1" s="36"/>
      <c r="L1" s="36"/>
      <c r="M1" s="36"/>
      <c r="N1" s="37"/>
      <c r="O1" s="35" t="s">
        <v>1</v>
      </c>
      <c r="P1" s="36"/>
      <c r="Q1" s="36"/>
      <c r="R1" s="36"/>
      <c r="S1" s="36"/>
      <c r="T1" s="37"/>
      <c r="U1" s="3" t="s">
        <v>2</v>
      </c>
      <c r="V1" s="35" t="s">
        <v>3</v>
      </c>
      <c r="W1" s="36"/>
      <c r="X1" s="36"/>
      <c r="Y1" s="37"/>
      <c r="Z1" s="4"/>
      <c r="AA1" s="5"/>
      <c r="AB1" s="35" t="s">
        <v>4</v>
      </c>
      <c r="AC1" s="36"/>
      <c r="AD1" s="36"/>
      <c r="AE1" s="37"/>
      <c r="AF1" s="35" t="s">
        <v>5</v>
      </c>
      <c r="AG1" s="36"/>
      <c r="AH1" s="37"/>
      <c r="AI1" s="12"/>
    </row>
    <row r="2" spans="1:35" ht="15.75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0" t="s">
        <v>17</v>
      </c>
      <c r="M2" s="9" t="s">
        <v>18</v>
      </c>
      <c r="N2" s="9" t="s">
        <v>19</v>
      </c>
      <c r="O2" s="9" t="s">
        <v>20</v>
      </c>
      <c r="P2" s="10" t="s">
        <v>21</v>
      </c>
      <c r="Q2" s="10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1" t="s">
        <v>26</v>
      </c>
      <c r="X2" s="12" t="s">
        <v>28</v>
      </c>
      <c r="Y2" s="13" t="s">
        <v>29</v>
      </c>
      <c r="Z2" s="14" t="s">
        <v>30</v>
      </c>
      <c r="AA2" s="15" t="s">
        <v>31</v>
      </c>
      <c r="AB2" s="9" t="s">
        <v>32</v>
      </c>
      <c r="AC2" s="9" t="s">
        <v>33</v>
      </c>
      <c r="AD2" s="9" t="s">
        <v>34</v>
      </c>
      <c r="AE2" s="9" t="s">
        <v>35</v>
      </c>
      <c r="AF2" s="9" t="s">
        <v>32</v>
      </c>
      <c r="AG2" s="9" t="s">
        <v>33</v>
      </c>
      <c r="AH2" s="9" t="s">
        <v>34</v>
      </c>
      <c r="AI2" s="11" t="s">
        <v>29</v>
      </c>
    </row>
    <row r="3" spans="1:35" ht="15.75" customHeight="1" x14ac:dyDescent="0.15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6">
        <v>12</v>
      </c>
      <c r="M3" s="16">
        <v>13</v>
      </c>
      <c r="N3" s="16">
        <v>14</v>
      </c>
      <c r="O3" s="16">
        <v>15</v>
      </c>
      <c r="P3" s="16">
        <v>16</v>
      </c>
      <c r="Q3" s="16">
        <v>17</v>
      </c>
      <c r="R3" s="16">
        <v>18</v>
      </c>
      <c r="S3" s="16">
        <v>19</v>
      </c>
      <c r="T3" s="16">
        <v>20</v>
      </c>
      <c r="U3" s="16">
        <v>21</v>
      </c>
      <c r="V3" s="16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20">
        <v>35</v>
      </c>
    </row>
    <row r="4" spans="1:35" ht="15.75" customHeight="1" x14ac:dyDescent="0.15">
      <c r="A4">
        <f ca="1">IFERROR(__xludf.DUMMYFUNCTION("QUERY('Результат'!$A$4:$AI$2413, ""select * where E = '60 ПОЛУВАГОНЫ' OR E = '68 ГЛУХОДОННЫЕ'"", -1)"),30)</f>
        <v>30</v>
      </c>
      <c r="B4" t="str">
        <f ca="1">IFERROR(__xludf.DUMMYFUNCTION("""COMPUTED_VALUE"""),"Ламан-Шипинг скраренда")</f>
        <v>Ламан-Шипинг скраренда</v>
      </c>
      <c r="C4" t="str">
        <f ca="1">IFERROR(__xludf.DUMMYFUNCTION("""COMPUTED_VALUE"""),"ФМС груп")</f>
        <v>ФМС груп</v>
      </c>
      <c r="D4">
        <f ca="1">IFERROR(__xludf.DUMMYFUNCTION("""COMPUTED_VALUE"""),62976261)</f>
        <v>62976261</v>
      </c>
      <c r="E4" t="str">
        <f ca="1">IFERROR(__xludf.DUMMYFUNCTION("""COMPUTED_VALUE"""),"60 ПОЛУВАГОНЫ")</f>
        <v>60 ПОЛУВАГОНЫ</v>
      </c>
      <c r="F4">
        <f ca="1">IFERROR(__xludf.DUMMYFUNCTION("""COMPUTED_VALUE"""),24151)</f>
        <v>24151</v>
      </c>
      <c r="G4" t="str">
        <f ca="1">IFERROR(__xludf.DUMMYFUNCTION("""COMPUTED_VALUE"""),"ПРОДУКТ ПОЛЕВОШ")</f>
        <v>ПРОДУКТ ПОЛЕВОШ</v>
      </c>
      <c r="H4">
        <f ca="1">IFERROR(__xludf.DUMMYFUNCTION("""COMPUTED_VALUE"""),69)</f>
        <v>69</v>
      </c>
      <c r="I4">
        <f ca="1">IFERROR(__xludf.DUMMYFUNCTION("""COMPUTED_VALUE"""),8223)</f>
        <v>8223</v>
      </c>
      <c r="J4" t="str">
        <f ca="1">IFERROR(__xludf.DUMMYFUNCTION("""COMPUTED_VALUE"""),"3601 (32000-629-32010) ДАРНИЦА - КИЕВ-ДЕМЕЕВС")</f>
        <v>3601 (32000-629-32010) ДАРНИЦА - КИЕВ-ДЕМЕЕВС</v>
      </c>
      <c r="K4">
        <f ca="1">IFERROR(__xludf.DUMMYFUNCTION("""COMPUTED_VALUE"""),32010)</f>
        <v>32010</v>
      </c>
      <c r="L4" t="str">
        <f ca="1">IFERROR(__xludf.DUMMYFUNCTION("""COMPUTED_VALUE"""),"КИЕВ-ДЕМЕЕВС")</f>
        <v>КИЕВ-ДЕМЕЕВС</v>
      </c>
      <c r="M4" t="str">
        <f ca="1">IFERROR(__xludf.DUMMYFUNCTION("""COMPUTED_VALUE"""),"10.08.21 08-50")</f>
        <v>10.08.21 08-50</v>
      </c>
      <c r="N4" t="str">
        <f ca="1">IFERROR(__xludf.DUMMYFUNCTION("""COMPUTED_VALUE"""),"21 ВЫГ2")</f>
        <v>21 ВЫГ2</v>
      </c>
      <c r="O4">
        <f ca="1">IFERROR(__xludf.DUMMYFUNCTION("""COMPUTED_VALUE"""),32010)</f>
        <v>32010</v>
      </c>
      <c r="P4" t="str">
        <f ca="1">IFERROR(__xludf.DUMMYFUNCTION("""COMPUTED_VALUE"""),"КИЕВ-ДЕМЕЕВС")</f>
        <v>КИЕВ-ДЕМЕЕВС</v>
      </c>
      <c r="Q4">
        <f ca="1">IFERROR(__xludf.DUMMYFUNCTION("""COMPUTED_VALUE"""),34170)</f>
        <v>34170</v>
      </c>
      <c r="R4" t="str">
        <f ca="1">IFERROR(__xludf.DUMMYFUNCTION("""COMPUTED_VALUE"""),"ПОЛОННОЕ")</f>
        <v>ПОЛОННОЕ</v>
      </c>
      <c r="S4" t="str">
        <f ca="1">IFERROR(__xludf.DUMMYFUNCTION("""COMPUTED_VALUE"""),"07.08.21 17-45")</f>
        <v>07.08.21 17-45</v>
      </c>
      <c r="U4" t="str">
        <f ca="1">IFERROR(__xludf.DUMMYFUNCTION("""COMPUTED_VALUE"""),"03.03.2023 ДР")</f>
        <v>03.03.2023 ДР</v>
      </c>
      <c r="Z4" t="str">
        <f ca="1">IFERROR(__xludf.DUMMYFUNCTION("""COMPUTED_VALUE"""),"ООО ""Ф.М.С. групп""")</f>
        <v>ООО "Ф.М.С. групп"</v>
      </c>
      <c r="AA4" t="str">
        <f ca="1">IFERROR(__xludf.DUMMYFUNCTION("""COMPUTED_VALUE"""),"12-783")</f>
        <v>12-783</v>
      </c>
      <c r="AB4" t="str">
        <f ca="1">IFERROR(__xludf.DUMMYFUNCTION("""COMPUTED_VALUE"""),"43 ЮЖН")</f>
        <v>43 ЮЖН</v>
      </c>
      <c r="AC4" t="str">
        <f ca="1">IFERROR(__xludf.DUMMYFUNCTION("""COMPUTED_VALUE"""),"43000 КУПЯНСК-СОРТ")</f>
        <v>43000 КУПЯНСК-СОРТ</v>
      </c>
      <c r="AD4" t="str">
        <f ca="1">IFERROR(__xludf.DUMMYFUNCTION("""COMPUTED_VALUE"""),"27.02.20 08-17")</f>
        <v>27.02.20 08-17</v>
      </c>
      <c r="AE4" t="str">
        <f ca="1">IFERROR(__xludf.DUMMYFUNCTION("""COMPUTED_VALUE"""),"570 ИCТEК КAЛЕНДАРНЫЙ CPOК ДEПOВCКОГО PEМOНТA")</f>
        <v>570 ИCТEК КAЛЕНДАРНЫЙ CPOК ДEПOВCКОГО PEМOНТA</v>
      </c>
      <c r="AF4" t="str">
        <f ca="1">IFERROR(__xludf.DUMMYFUNCTION("""COMPUTED_VALUE"""),"43 ЮЖН")</f>
        <v>43 ЮЖН</v>
      </c>
      <c r="AG4" t="str">
        <f ca="1">IFERROR(__xludf.DUMMYFUNCTION("""COMPUTED_VALUE"""),"43000 КУПЯНСК-СОРТ")</f>
        <v>43000 КУПЯНСК-СОРТ</v>
      </c>
      <c r="AH4" t="str">
        <f ca="1">IFERROR(__xludf.DUMMYFUNCTION("""COMPUTED_VALUE"""),"03.03.20 10-40")</f>
        <v>03.03.20 10-40</v>
      </c>
      <c r="AI4" s="21">
        <f ca="1">IFERROR(__xludf.DUMMYFUNCTION("""COMPUTED_VALUE"""),44420.3576504629)</f>
        <v>44420.357650462902</v>
      </c>
    </row>
    <row r="5" spans="1:35" ht="15.75" customHeight="1" x14ac:dyDescent="0.15">
      <c r="A5">
        <f ca="1">IFERROR(__xludf.DUMMYFUNCTION("""COMPUTED_VALUE"""),43)</f>
        <v>43</v>
      </c>
      <c r="B5" t="str">
        <f ca="1">IFERROR(__xludf.DUMMYFUNCTION("""COMPUTED_VALUE"""),"Трансцентр")</f>
        <v>Трансцентр</v>
      </c>
      <c r="C5" t="str">
        <f ca="1">IFERROR(__xludf.DUMMYFUNCTION("""COMPUTED_VALUE"""),"Индустриальные решения")</f>
        <v>Индустриальные решения</v>
      </c>
      <c r="D5">
        <f ca="1">IFERROR(__xludf.DUMMYFUNCTION("""COMPUTED_VALUE"""),62398987)</f>
        <v>62398987</v>
      </c>
      <c r="E5" t="str">
        <f ca="1">IFERROR(__xludf.DUMMYFUNCTION("""COMPUTED_VALUE"""),"60 ПОЛУВАГОНЫ")</f>
        <v>60 ПОЛУВАГОНЫ</v>
      </c>
      <c r="F5">
        <f ca="1">IFERROR(__xludf.DUMMYFUNCTION("""COMPUTED_VALUE"""),42103)</f>
        <v>42103</v>
      </c>
      <c r="G5" t="str">
        <f ca="1">IFERROR(__xludf.DUMMYFUNCTION("""COMPUTED_VALUE"""),"ВАГОНЫ ЖД СВ")</f>
        <v>ВАГОНЫ ЖД СВ</v>
      </c>
      <c r="H5">
        <f ca="1">IFERROR(__xludf.DUMMYFUNCTION("""COMPUTED_VALUE"""),69)</f>
        <v>69</v>
      </c>
      <c r="I5">
        <f ca="1">IFERROR(__xludf.DUMMYFUNCTION("""COMPUTED_VALUE"""),4279)</f>
        <v>4279</v>
      </c>
      <c r="J5" t="str">
        <f ca="1">IFERROR(__xludf.DUMMYFUNCTION("""COMPUTED_VALUE"""),"3501 (34000-055-34850) ШЕПЕТОВКА - УШИЦА")</f>
        <v>3501 (34000-055-34850) ШЕПЕТОВКА - УШИЦА</v>
      </c>
      <c r="K5">
        <f ca="1">IFERROR(__xludf.DUMMYFUNCTION("""COMPUTED_VALUE"""),34000)</f>
        <v>34000</v>
      </c>
      <c r="L5" t="str">
        <f ca="1">IFERROR(__xludf.DUMMYFUNCTION("""COMPUTED_VALUE"""),"ШЕПЕТОВКА")</f>
        <v>ШЕПЕТОВКА</v>
      </c>
      <c r="M5" t="str">
        <f ca="1">IFERROR(__xludf.DUMMYFUNCTION("""COMPUTED_VALUE"""),"12.08.21 01-01")</f>
        <v>12.08.21 01-01</v>
      </c>
      <c r="N5" t="str">
        <f ca="1">IFERROR(__xludf.DUMMYFUNCTION("""COMPUTED_VALUE"""),"05 ФОРМ")</f>
        <v>05 ФОРМ</v>
      </c>
      <c r="O5">
        <f ca="1">IFERROR(__xludf.DUMMYFUNCTION("""COMPUTED_VALUE"""),34780)</f>
        <v>34780</v>
      </c>
      <c r="P5" t="str">
        <f ca="1">IFERROR(__xludf.DUMMYFUNCTION("""COMPUTED_VALUE"""),"МАЙДАН-ВИЛА")</f>
        <v>МАЙДАН-ВИЛА</v>
      </c>
      <c r="Q5">
        <f ca="1">IFERROR(__xludf.DUMMYFUNCTION("""COMPUTED_VALUE"""),34780)</f>
        <v>34780</v>
      </c>
      <c r="R5" t="str">
        <f ca="1">IFERROR(__xludf.DUMMYFUNCTION("""COMPUTED_VALUE"""),"МАЙДАН-ВИЛА")</f>
        <v>МАЙДАН-ВИЛА</v>
      </c>
      <c r="S5" t="str">
        <f ca="1">IFERROR(__xludf.DUMMYFUNCTION("""COMPUTED_VALUE"""),"29.07.21 13-10")</f>
        <v>29.07.21 13-10</v>
      </c>
      <c r="T5">
        <f ca="1">IFERROR(__xludf.DUMMYFUNCTION("""COMPUTED_VALUE"""),0)</f>
        <v>0</v>
      </c>
      <c r="U5" t="str">
        <f ca="1">IFERROR(__xludf.DUMMYFUNCTION("""COMPUTED_VALUE"""),"12.03.2023 ДР")</f>
        <v>12.03.2023 ДР</v>
      </c>
      <c r="Z5" t="str">
        <f ca="1">IFERROR(__xludf.DUMMYFUNCTION("""COMPUTED_VALUE"""),"ООО ""ИНДУСТРИАЛЬНЫЕ РЕШЕНИЯ""")</f>
        <v>ООО "ИНДУСТРИАЛЬНЫЕ РЕШЕНИЯ"</v>
      </c>
      <c r="AA5" t="str">
        <f ca="1">IFERROR(__xludf.DUMMYFUNCTION("""COMPUTED_VALUE"""),"12-1704-04")</f>
        <v>12-1704-04</v>
      </c>
      <c r="AB5" t="str">
        <f ca="1">IFERROR(__xludf.DUMMYFUNCTION("""COMPUTED_VALUE"""),"32 Ю-ЗАП")</f>
        <v>32 Ю-ЗАП</v>
      </c>
      <c r="AC5" t="str">
        <f ca="1">IFERROR(__xludf.DUMMYFUNCTION("""COMPUTED_VALUE"""),"34000 ШЕПЕТОВКА")</f>
        <v>34000 ШЕПЕТОВКА</v>
      </c>
      <c r="AD5" t="str">
        <f ca="1">IFERROR(__xludf.DUMMYFUNCTION("""COMPUTED_VALUE"""),"07.03.21 20-20")</f>
        <v>07.03.21 20-20</v>
      </c>
      <c r="AE5" t="str">
        <f ca="1">IFERROR(__xludf.DUMMYFUNCTION("""COMPUTED_VALUE"""),"503 OБPЫВ CВAPНOГO ШВA CТOЙКИ")</f>
        <v>503 OБPЫВ CВAPНOГO ШВA CТOЙКИ</v>
      </c>
      <c r="AF5" t="str">
        <f ca="1">IFERROR(__xludf.DUMMYFUNCTION("""COMPUTED_VALUE"""),"32 Ю-ЗАП")</f>
        <v>32 Ю-ЗАП</v>
      </c>
      <c r="AG5" t="str">
        <f ca="1">IFERROR(__xludf.DUMMYFUNCTION("""COMPUTED_VALUE"""),"34000 ШЕПЕТОВКА")</f>
        <v>34000 ШЕПЕТОВКА</v>
      </c>
      <c r="AH5" t="str">
        <f ca="1">IFERROR(__xludf.DUMMYFUNCTION("""COMPUTED_VALUE"""),"13.03.21 11-00")</f>
        <v>13.03.21 11-00</v>
      </c>
      <c r="AI5" s="21">
        <f ca="1">IFERROR(__xludf.DUMMYFUNCTION("""COMPUTED_VALUE"""),44420.3576504629)</f>
        <v>44420.357650462902</v>
      </c>
    </row>
    <row r="6" spans="1:35" ht="15.75" customHeight="1" x14ac:dyDescent="0.15">
      <c r="A6">
        <f ca="1">IFERROR(__xludf.DUMMYFUNCTION("""COMPUTED_VALUE"""),44)</f>
        <v>44</v>
      </c>
      <c r="B6" t="str">
        <f ca="1">IFERROR(__xludf.DUMMYFUNCTION("""COMPUTED_VALUE"""),"Техрейс")</f>
        <v>Техрейс</v>
      </c>
      <c r="C6" t="str">
        <f ca="1">IFERROR(__xludf.DUMMYFUNCTION("""COMPUTED_VALUE"""),"Индустриальные решения")</f>
        <v>Индустриальные решения</v>
      </c>
      <c r="D6">
        <f ca="1">IFERROR(__xludf.DUMMYFUNCTION("""COMPUTED_VALUE"""),62399241)</f>
        <v>62399241</v>
      </c>
      <c r="E6" t="str">
        <f ca="1">IFERROR(__xludf.DUMMYFUNCTION("""COMPUTED_VALUE"""),"60 ПОЛУВАГОНЫ")</f>
        <v>60 ПОЛУВАГОНЫ</v>
      </c>
      <c r="F6">
        <f ca="1">IFERROR(__xludf.DUMMYFUNCTION("""COMPUTED_VALUE"""),42103)</f>
        <v>42103</v>
      </c>
      <c r="G6" t="str">
        <f ca="1">IFERROR(__xludf.DUMMYFUNCTION("""COMPUTED_VALUE"""),"ВАГОНЫ ЖД СВ")</f>
        <v>ВАГОНЫ ЖД СВ</v>
      </c>
      <c r="H6">
        <f ca="1">IFERROR(__xludf.DUMMYFUNCTION("""COMPUTED_VALUE"""),0)</f>
        <v>0</v>
      </c>
      <c r="I6">
        <f ca="1">IFERROR(__xludf.DUMMYFUNCTION("""COMPUTED_VALUE"""),5343)</f>
        <v>5343</v>
      </c>
      <c r="J6" t="str">
        <f ca="1">IFERROR(__xludf.DUMMYFUNCTION("""COMPUTED_VALUE"""),"3501 (46710-449-46720) КРИВ.РОГ-СОР - КРИВОЙ РОГ")</f>
        <v>3501 (46710-449-46720) КРИВ.РОГ-СОР - КРИВОЙ РОГ</v>
      </c>
      <c r="K6">
        <f ca="1">IFERROR(__xludf.DUMMYFUNCTION("""COMPUTED_VALUE"""),46710)</f>
        <v>46710</v>
      </c>
      <c r="L6" t="str">
        <f ca="1">IFERROR(__xludf.DUMMYFUNCTION("""COMPUTED_VALUE"""),"КРИВ.РОГ-СОР")</f>
        <v>КРИВ.РОГ-СОР</v>
      </c>
      <c r="M6" t="str">
        <f ca="1">IFERROR(__xludf.DUMMYFUNCTION("""COMPUTED_VALUE"""),"11.08.21 17-13")</f>
        <v>11.08.21 17-13</v>
      </c>
      <c r="N6" t="str">
        <f ca="1">IFERROR(__xludf.DUMMYFUNCTION("""COMPUTED_VALUE"""),"85 ПРСТ")</f>
        <v>85 ПРСТ</v>
      </c>
      <c r="O6">
        <f ca="1">IFERROR(__xludf.DUMMYFUNCTION("""COMPUTED_VALUE"""),46720)</f>
        <v>46720</v>
      </c>
      <c r="P6" t="str">
        <f ca="1">IFERROR(__xludf.DUMMYFUNCTION("""COMPUTED_VALUE"""),"КРИВОЙ РОГ")</f>
        <v>КРИВОЙ РОГ</v>
      </c>
      <c r="Q6">
        <f ca="1">IFERROR(__xludf.DUMMYFUNCTION("""COMPUTED_VALUE"""),40050)</f>
        <v>40050</v>
      </c>
      <c r="R6" t="str">
        <f ca="1">IFERROR(__xludf.DUMMYFUNCTION("""COMPUTED_VALUE"""),"БЕРЕГОВАЯ")</f>
        <v>БЕРЕГОВАЯ</v>
      </c>
      <c r="S6" t="str">
        <f ca="1">IFERROR(__xludf.DUMMYFUNCTION("""COMPUTED_VALUE"""),"06.08.21 02-15")</f>
        <v>06.08.21 02-15</v>
      </c>
      <c r="T6">
        <f ca="1">IFERROR(__xludf.DUMMYFUNCTION("""COMPUTED_VALUE"""),8200)</f>
        <v>8200</v>
      </c>
      <c r="U6" t="str">
        <f ca="1">IFERROR(__xludf.DUMMYFUNCTION("""COMPUTED_VALUE"""),"17.03.2023 ДР")</f>
        <v>17.03.2023 ДР</v>
      </c>
      <c r="Z6" t="str">
        <f ca="1">IFERROR(__xludf.DUMMYFUNCTION("""COMPUTED_VALUE"""),"ООО ""ИНДУСТРИАЛЬНЫЕ РЕШЕНИЯ""")</f>
        <v>ООО "ИНДУСТРИАЛЬНЫЕ РЕШЕНИЯ"</v>
      </c>
      <c r="AA6" t="str">
        <f ca="1">IFERROR(__xludf.DUMMYFUNCTION("""COMPUTED_VALUE"""),"12-1704-04")</f>
        <v>12-1704-04</v>
      </c>
      <c r="AB6" t="str">
        <f ca="1">IFERROR(__xludf.DUMMYFUNCTION("""COMPUTED_VALUE"""),"32 Ю-ЗАП")</f>
        <v>32 Ю-ЗАП</v>
      </c>
      <c r="AC6" t="str">
        <f ca="1">IFERROR(__xludf.DUMMYFUNCTION("""COMPUTED_VALUE"""),"34800 НОВОГР-ВОЛ I")</f>
        <v>34800 НОВОГР-ВОЛ I</v>
      </c>
      <c r="AD6" t="str">
        <f ca="1">IFERROR(__xludf.DUMMYFUNCTION("""COMPUTED_VALUE"""),"17.09.20 15-00")</f>
        <v>17.09.20 15-00</v>
      </c>
      <c r="AE6" t="str">
        <f ca="1">IFERROR(__xludf.DUMMYFUNCTION("""COMPUTED_VALUE"""),"455")</f>
        <v>455</v>
      </c>
      <c r="AF6" t="str">
        <f ca="1">IFERROR(__xludf.DUMMYFUNCTION("""COMPUTED_VALUE"""),"32 Ю-ЗАП")</f>
        <v>32 Ю-ЗАП</v>
      </c>
      <c r="AG6" t="str">
        <f ca="1">IFERROR(__xludf.DUMMYFUNCTION("""COMPUTED_VALUE"""),"34800 НОВОГР-ВОЛ I")</f>
        <v>34800 НОВОГР-ВОЛ I</v>
      </c>
      <c r="AH6" t="str">
        <f ca="1">IFERROR(__xludf.DUMMYFUNCTION("""COMPUTED_VALUE"""),"25.09.20 14-30")</f>
        <v>25.09.20 14-30</v>
      </c>
      <c r="AI6" s="21">
        <f ca="1">IFERROR(__xludf.DUMMYFUNCTION("""COMPUTED_VALUE"""),44420.3576504629)</f>
        <v>44420.357650462902</v>
      </c>
    </row>
    <row r="7" spans="1:35" ht="15.75" customHeight="1" x14ac:dyDescent="0.15">
      <c r="A7">
        <f ca="1">IFERROR(__xludf.DUMMYFUNCTION("""COMPUTED_VALUE"""),45)</f>
        <v>45</v>
      </c>
      <c r="B7" t="str">
        <f ca="1">IFERROR(__xludf.DUMMYFUNCTION("""COMPUTED_VALUE"""),"Техрейс")</f>
        <v>Техрейс</v>
      </c>
      <c r="C7" t="str">
        <f ca="1">IFERROR(__xludf.DUMMYFUNCTION("""COMPUTED_VALUE"""),"Индустриальные решения")</f>
        <v>Индустриальные решения</v>
      </c>
      <c r="D7">
        <f ca="1">IFERROR(__xludf.DUMMYFUNCTION("""COMPUTED_VALUE"""),62400130)</f>
        <v>62400130</v>
      </c>
      <c r="E7" t="str">
        <f ca="1">IFERROR(__xludf.DUMMYFUNCTION("""COMPUTED_VALUE"""),"60 ПОЛУВАГОНЫ")</f>
        <v>60 ПОЛУВАГОНЫ</v>
      </c>
      <c r="F7">
        <f ca="1">IFERROR(__xludf.DUMMYFUNCTION("""COMPUTED_VALUE"""),29101)</f>
        <v>29101</v>
      </c>
      <c r="G7" t="str">
        <f ca="1">IFERROR(__xludf.DUMMYFUNCTION("""COMPUTED_VALUE"""),"ДОЛОМИТ Д/СТЕК")</f>
        <v>ДОЛОМИТ Д/СТЕК</v>
      </c>
      <c r="H7">
        <f ca="1">IFERROR(__xludf.DUMMYFUNCTION("""COMPUTED_VALUE"""),67)</f>
        <v>67</v>
      </c>
      <c r="I7">
        <f ca="1">IFERROR(__xludf.DUMMYFUNCTION("""COMPUTED_VALUE"""),6832)</f>
        <v>6832</v>
      </c>
      <c r="J7" t="str">
        <f ca="1">IFERROR(__xludf.DUMMYFUNCTION("""COMPUTED_VALUE"""),"3601 (45640-013-45650) ВЕРХОВЦЕВО - ВОЛЬНОГОРСК")</f>
        <v>3601 (45640-013-45650) ВЕРХОВЦЕВО - ВОЛЬНОГОРСК</v>
      </c>
      <c r="K7">
        <f ca="1">IFERROR(__xludf.DUMMYFUNCTION("""COMPUTED_VALUE"""),45650)</f>
        <v>45650</v>
      </c>
      <c r="L7" t="str">
        <f ca="1">IFERROR(__xludf.DUMMYFUNCTION("""COMPUTED_VALUE"""),"ВОЛЬНОГОРСК")</f>
        <v>ВОЛЬНОГОРСК</v>
      </c>
      <c r="M7" t="str">
        <f ca="1">IFERROR(__xludf.DUMMYFUNCTION("""COMPUTED_VALUE"""),"10.08.21 16-45")</f>
        <v>10.08.21 16-45</v>
      </c>
      <c r="N7" t="str">
        <f ca="1">IFERROR(__xludf.DUMMYFUNCTION("""COMPUTED_VALUE"""),"21 ВЫГ2")</f>
        <v>21 ВЫГ2</v>
      </c>
      <c r="O7">
        <f ca="1">IFERROR(__xludf.DUMMYFUNCTION("""COMPUTED_VALUE"""),45650)</f>
        <v>45650</v>
      </c>
      <c r="P7" t="str">
        <f ca="1">IFERROR(__xludf.DUMMYFUNCTION("""COMPUTED_VALUE"""),"ВОЛЬНОГОРСК")</f>
        <v>ВОЛЬНОГОРСК</v>
      </c>
      <c r="Q7">
        <f ca="1">IFERROR(__xludf.DUMMYFUNCTION("""COMPUTED_VALUE"""),41790)</f>
        <v>41790</v>
      </c>
      <c r="R7" t="str">
        <f ca="1">IFERROR(__xludf.DUMMYFUNCTION("""COMPUTED_VALUE"""),"ХЕРСОН-ПОРТ")</f>
        <v>ХЕРСОН-ПОРТ</v>
      </c>
      <c r="S7" t="str">
        <f ca="1">IFERROR(__xludf.DUMMYFUNCTION("""COMPUTED_VALUE"""),"01.08.21 14-05")</f>
        <v>01.08.21 14-05</v>
      </c>
      <c r="U7" t="str">
        <f ca="1">IFERROR(__xludf.DUMMYFUNCTION("""COMPUTED_VALUE"""),"09.03.2023 ДР")</f>
        <v>09.03.2023 ДР</v>
      </c>
      <c r="Z7" t="str">
        <f ca="1">IFERROR(__xludf.DUMMYFUNCTION("""COMPUTED_VALUE"""),"ООО ""ИНДУСТРИАЛЬНЫЕ РЕШЕНИЯ""")</f>
        <v>ООО "ИНДУСТРИАЛЬНЫЕ РЕШЕНИЯ"</v>
      </c>
      <c r="AA7" t="str">
        <f ca="1">IFERROR(__xludf.DUMMYFUNCTION("""COMPUTED_VALUE"""),"12-1704-04")</f>
        <v>12-1704-04</v>
      </c>
      <c r="AB7" t="str">
        <f ca="1">IFERROR(__xludf.DUMMYFUNCTION("""COMPUTED_VALUE"""),"32 Ю-ЗАП")</f>
        <v>32 Ю-ЗАП</v>
      </c>
      <c r="AC7" t="str">
        <f ca="1">IFERROR(__xludf.DUMMYFUNCTION("""COMPUTED_VALUE"""),"32000 ДАРНИЦА")</f>
        <v>32000 ДАРНИЦА</v>
      </c>
      <c r="AD7" t="str">
        <f ca="1">IFERROR(__xludf.DUMMYFUNCTION("""COMPUTED_VALUE"""),"18.09.20 20-15")</f>
        <v>18.09.20 20-15</v>
      </c>
      <c r="AE7" t="str">
        <f ca="1">IFERROR(__xludf.DUMMYFUNCTION("""COMPUTED_VALUE"""),"443 ИЗЛOМ PЫЧAГOВ И ТOPМOЗНЫX ТЯГ")</f>
        <v>443 ИЗЛOМ PЫЧAГOВ И ТOPМOЗНЫX ТЯГ</v>
      </c>
      <c r="AF7" t="str">
        <f ca="1">IFERROR(__xludf.DUMMYFUNCTION("""COMPUTED_VALUE"""),"32 Ю-ЗАП")</f>
        <v>32 Ю-ЗАП</v>
      </c>
      <c r="AG7" t="str">
        <f ca="1">IFERROR(__xludf.DUMMYFUNCTION("""COMPUTED_VALUE"""),"32000 ДАРНИЦА")</f>
        <v>32000 ДАРНИЦА</v>
      </c>
      <c r="AH7" t="str">
        <f ca="1">IFERROR(__xludf.DUMMYFUNCTION("""COMPUTED_VALUE"""),"20.09.20 15-32")</f>
        <v>20.09.20 15-32</v>
      </c>
      <c r="AI7" s="21">
        <f ca="1">IFERROR(__xludf.DUMMYFUNCTION("""COMPUTED_VALUE"""),44420.3576504629)</f>
        <v>44420.357650462902</v>
      </c>
    </row>
    <row r="8" spans="1:35" ht="15.75" customHeight="1" x14ac:dyDescent="0.15">
      <c r="A8">
        <f ca="1">IFERROR(__xludf.DUMMYFUNCTION("""COMPUTED_VALUE"""),46)</f>
        <v>46</v>
      </c>
      <c r="B8" t="str">
        <f ca="1">IFERROR(__xludf.DUMMYFUNCTION("""COMPUTED_VALUE"""),"Техрейс")</f>
        <v>Техрейс</v>
      </c>
      <c r="C8" t="str">
        <f ca="1">IFERROR(__xludf.DUMMYFUNCTION("""COMPUTED_VALUE"""),"Индустриальные решения")</f>
        <v>Индустриальные решения</v>
      </c>
      <c r="D8">
        <f ca="1">IFERROR(__xludf.DUMMYFUNCTION("""COMPUTED_VALUE"""),62400189)</f>
        <v>62400189</v>
      </c>
      <c r="E8" t="str">
        <f ca="1">IFERROR(__xludf.DUMMYFUNCTION("""COMPUTED_VALUE"""),"60 ПОЛУВАГОНЫ")</f>
        <v>60 ПОЛУВАГОНЫ</v>
      </c>
      <c r="F8">
        <f ca="1">IFERROR(__xludf.DUMMYFUNCTION("""COMPUTED_VALUE"""),42103)</f>
        <v>42103</v>
      </c>
      <c r="G8" t="str">
        <f ca="1">IFERROR(__xludf.DUMMYFUNCTION("""COMPUTED_VALUE"""),"ВАГОНЫ ЖД СВ")</f>
        <v>ВАГОНЫ ЖД СВ</v>
      </c>
      <c r="H8">
        <f ca="1">IFERROR(__xludf.DUMMYFUNCTION("""COMPUTED_VALUE"""),70)</f>
        <v>70</v>
      </c>
      <c r="I8">
        <f ca="1">IFERROR(__xludf.DUMMYFUNCTION("""COMPUTED_VALUE"""),1727)</f>
        <v>1727</v>
      </c>
      <c r="J8" t="str">
        <f ca="1">IFERROR(__xludf.DUMMYFUNCTION("""COMPUTED_VALUE"""),"3202 (35130-011-35400) ЯГОДИН - КОВЕЛЬ")</f>
        <v>3202 (35130-011-35400) ЯГОДИН - КОВЕЛЬ</v>
      </c>
      <c r="K8">
        <f ca="1">IFERROR(__xludf.DUMMYFUNCTION("""COMPUTED_VALUE"""),35400)</f>
        <v>35400</v>
      </c>
      <c r="L8" t="str">
        <f ca="1">IFERROR(__xludf.DUMMYFUNCTION("""COMPUTED_VALUE"""),"КОВЕЛЬ")</f>
        <v>КОВЕЛЬ</v>
      </c>
      <c r="M8" t="str">
        <f ca="1">IFERROR(__xludf.DUMMYFUNCTION("""COMPUTED_VALUE"""),"12.08.21 06-18")</f>
        <v>12.08.21 06-18</v>
      </c>
      <c r="N8" t="str">
        <f ca="1">IFERROR(__xludf.DUMMYFUNCTION("""COMPUTED_VALUE"""),"72 ОТЦ")</f>
        <v>72 ОТЦ</v>
      </c>
      <c r="O8">
        <f ca="1">IFERROR(__xludf.DUMMYFUNCTION("""COMPUTED_VALUE"""),35050)</f>
        <v>35050</v>
      </c>
      <c r="P8" t="str">
        <f ca="1">IFERROR(__xludf.DUMMYFUNCTION("""COMPUTED_VALUE"""),"КРЕМЕНЕЦ")</f>
        <v>КРЕМЕНЕЦ</v>
      </c>
      <c r="Q8">
        <f ca="1">IFERROR(__xludf.DUMMYFUNCTION("""COMPUTED_VALUE"""),49480)</f>
        <v>49480</v>
      </c>
      <c r="R8" t="str">
        <f ca="1">IFERROR(__xludf.DUMMYFUNCTION("""COMPUTED_VALUE"""),"СОЛЬ")</f>
        <v>СОЛЬ</v>
      </c>
      <c r="S8" t="str">
        <f ca="1">IFERROR(__xludf.DUMMYFUNCTION("""COMPUTED_VALUE"""),"30.07.21 16-15")</f>
        <v>30.07.21 16-15</v>
      </c>
      <c r="T8">
        <f ca="1">IFERROR(__xludf.DUMMYFUNCTION("""COMPUTED_VALUE"""),0)</f>
        <v>0</v>
      </c>
      <c r="U8" t="str">
        <f ca="1">IFERROR(__xludf.DUMMYFUNCTION("""COMPUTED_VALUE"""),"12.03.2023 ДР")</f>
        <v>12.03.2023 ДР</v>
      </c>
      <c r="Z8" t="str">
        <f ca="1">IFERROR(__xludf.DUMMYFUNCTION("""COMPUTED_VALUE"""),"ООО ""ИНДУСТРИАЛЬНЫЕ РЕШЕНИЯ""")</f>
        <v>ООО "ИНДУСТРИАЛЬНЫЕ РЕШЕНИЯ"</v>
      </c>
      <c r="AA8" t="str">
        <f ca="1">IFERROR(__xludf.DUMMYFUNCTION("""COMPUTED_VALUE"""),"12-1704-04")</f>
        <v>12-1704-04</v>
      </c>
      <c r="AB8" t="str">
        <f ca="1">IFERROR(__xludf.DUMMYFUNCTION("""COMPUTED_VALUE"""),"43 ЮЖН")</f>
        <v>43 ЮЖН</v>
      </c>
      <c r="AC8" t="str">
        <f ca="1">IFERROR(__xludf.DUMMYFUNCTION("""COMPUTED_VALUE"""),"44870 ПОЛТАВА-ЮЖН")</f>
        <v>44870 ПОЛТАВА-ЮЖН</v>
      </c>
      <c r="AD8" t="str">
        <f ca="1">IFERROR(__xludf.DUMMYFUNCTION("""COMPUTED_VALUE"""),"13.02.21 18-05")</f>
        <v>13.02.21 18-05</v>
      </c>
      <c r="AE8" t="str">
        <f ca="1">IFERROR(__xludf.DUMMYFUNCTION("""COMPUTED_VALUE"""),"404 НEИCПPAВНОСТЬ ТOPМOЗНOГO ЦИЛИНДPA")</f>
        <v>404 НEИCПPAВНОСТЬ ТOPМOЗНOГO ЦИЛИНДPA</v>
      </c>
      <c r="AF8" t="str">
        <f ca="1">IFERROR(__xludf.DUMMYFUNCTION("""COMPUTED_VALUE"""),"43 ЮЖН")</f>
        <v>43 ЮЖН</v>
      </c>
      <c r="AG8" t="str">
        <f ca="1">IFERROR(__xludf.DUMMYFUNCTION("""COMPUTED_VALUE"""),"44870 ПОЛТАВА-ЮЖН")</f>
        <v>44870 ПОЛТАВА-ЮЖН</v>
      </c>
      <c r="AH8" t="str">
        <f ca="1">IFERROR(__xludf.DUMMYFUNCTION("""COMPUTED_VALUE"""),"15.02.21 13-30")</f>
        <v>15.02.21 13-30</v>
      </c>
      <c r="AI8" s="21">
        <f ca="1">IFERROR(__xludf.DUMMYFUNCTION("""COMPUTED_VALUE"""),44420.3576504629)</f>
        <v>44420.357650462902</v>
      </c>
    </row>
    <row r="9" spans="1:35" ht="15.75" customHeight="1" x14ac:dyDescent="0.15">
      <c r="A9">
        <f ca="1">IFERROR(__xludf.DUMMYFUNCTION("""COMPUTED_VALUE"""),47)</f>
        <v>47</v>
      </c>
      <c r="B9" t="str">
        <f ca="1">IFERROR(__xludf.DUMMYFUNCTION("""COMPUTED_VALUE"""),"Техрейс")</f>
        <v>Техрейс</v>
      </c>
      <c r="C9" t="str">
        <f ca="1">IFERROR(__xludf.DUMMYFUNCTION("""COMPUTED_VALUE"""),"Индустриальные решения")</f>
        <v>Индустриальные решения</v>
      </c>
      <c r="D9">
        <f ca="1">IFERROR(__xludf.DUMMYFUNCTION("""COMPUTED_VALUE"""),62400445)</f>
        <v>62400445</v>
      </c>
      <c r="E9" t="str">
        <f ca="1">IFERROR(__xludf.DUMMYFUNCTION("""COMPUTED_VALUE"""),"60 ПОЛУВАГОНЫ")</f>
        <v>60 ПОЛУВАГОНЫ</v>
      </c>
      <c r="F9">
        <f ca="1">IFERROR(__xludf.DUMMYFUNCTION("""COMPUTED_VALUE"""),42103)</f>
        <v>42103</v>
      </c>
      <c r="G9" t="str">
        <f ca="1">IFERROR(__xludf.DUMMYFUNCTION("""COMPUTED_VALUE"""),"ВАГОНЫ ЖД СВ")</f>
        <v>ВАГОНЫ ЖД СВ</v>
      </c>
      <c r="H9">
        <f ca="1">IFERROR(__xludf.DUMMYFUNCTION("""COMPUTED_VALUE"""),0)</f>
        <v>0</v>
      </c>
      <c r="I9">
        <f ca="1">IFERROR(__xludf.DUMMYFUNCTION("""COMPUTED_VALUE"""),5343)</f>
        <v>5343</v>
      </c>
      <c r="J9" t="str">
        <f ca="1">IFERROR(__xludf.DUMMYFUNCTION("""COMPUTED_VALUE"""),"2001 (40050-079-46720) БЕРЕГОВАЯ - КРИВОЙ РОГ")</f>
        <v>2001 (40050-079-46720) БЕРЕГОВАЯ - КРИВОЙ РОГ</v>
      </c>
      <c r="K9">
        <f ca="1">IFERROR(__xludf.DUMMYFUNCTION("""COMPUTED_VALUE"""),40050)</f>
        <v>40050</v>
      </c>
      <c r="L9" t="str">
        <f ca="1">IFERROR(__xludf.DUMMYFUNCTION("""COMPUTED_VALUE"""),"БЕРЕГОВАЯ")</f>
        <v>БЕРЕГОВАЯ</v>
      </c>
      <c r="M9" t="str">
        <f ca="1">IFERROR(__xludf.DUMMYFUNCTION("""COMPUTED_VALUE"""),"12.08.21 05-23")</f>
        <v>12.08.21 05-23</v>
      </c>
      <c r="N9" t="str">
        <f ca="1">IFERROR(__xludf.DUMMYFUNCTION("""COMPUTED_VALUE"""),"05 ФОРМ")</f>
        <v>05 ФОРМ</v>
      </c>
      <c r="O9">
        <f ca="1">IFERROR(__xludf.DUMMYFUNCTION("""COMPUTED_VALUE"""),46720)</f>
        <v>46720</v>
      </c>
      <c r="P9" t="str">
        <f ca="1">IFERROR(__xludf.DUMMYFUNCTION("""COMPUTED_VALUE"""),"КРИВОЙ РОГ")</f>
        <v>КРИВОЙ РОГ</v>
      </c>
      <c r="Q9">
        <f ca="1">IFERROR(__xludf.DUMMYFUNCTION("""COMPUTED_VALUE"""),40050)</f>
        <v>40050</v>
      </c>
      <c r="R9" t="str">
        <f ca="1">IFERROR(__xludf.DUMMYFUNCTION("""COMPUTED_VALUE"""),"БЕРЕГОВАЯ")</f>
        <v>БЕРЕГОВАЯ</v>
      </c>
      <c r="S9" t="str">
        <f ca="1">IFERROR(__xludf.DUMMYFUNCTION("""COMPUTED_VALUE"""),"12.08.21 03-50")</f>
        <v>12.08.21 03-50</v>
      </c>
      <c r="T9">
        <f ca="1">IFERROR(__xludf.DUMMYFUNCTION("""COMPUTED_VALUE"""),8200)</f>
        <v>8200</v>
      </c>
      <c r="U9" t="str">
        <f ca="1">IFERROR(__xludf.DUMMYFUNCTION("""COMPUTED_VALUE"""),"18.03.2023 ДР")</f>
        <v>18.03.2023 ДР</v>
      </c>
      <c r="Z9" t="str">
        <f ca="1">IFERROR(__xludf.DUMMYFUNCTION("""COMPUTED_VALUE"""),"ООО ""ИНДУСТРИАЛЬНЫЕ РЕШЕНИЯ""")</f>
        <v>ООО "ИНДУСТРИАЛЬНЫЕ РЕШЕНИЯ"</v>
      </c>
      <c r="AA9" t="str">
        <f ca="1">IFERROR(__xludf.DUMMYFUNCTION("""COMPUTED_VALUE"""),"12-1704-04")</f>
        <v>12-1704-04</v>
      </c>
      <c r="AB9" t="str">
        <f ca="1">IFERROR(__xludf.DUMMYFUNCTION("""COMPUTED_VALUE"""),"45 ПРИДН")</f>
        <v>45 ПРИДН</v>
      </c>
      <c r="AC9" t="str">
        <f ca="1">IFERROR(__xludf.DUMMYFUNCTION("""COMPUTED_VALUE"""),"45640 ВЕРХОВЦЕВО")</f>
        <v>45640 ВЕРХОВЦЕВО</v>
      </c>
      <c r="AD9" t="str">
        <f ca="1">IFERROR(__xludf.DUMMYFUNCTION("""COMPUTED_VALUE"""),"09.03.20 04-15")</f>
        <v>09.03.20 04-15</v>
      </c>
      <c r="AE9" t="str">
        <f ca="1">IFERROR(__xludf.DUMMYFUNCTION("""COMPUTED_VALUE"""),"570 ИCТEК КAЛЕНДАРНЫЙ CPOК ДEПOВCКОГО PEМOНТA")</f>
        <v>570 ИCТEК КAЛЕНДАРНЫЙ CPOК ДEПOВCКОГО PEМOНТA</v>
      </c>
      <c r="AF9" t="str">
        <f ca="1">IFERROR(__xludf.DUMMYFUNCTION("""COMPUTED_VALUE"""),"45 ПРИДН")</f>
        <v>45 ПРИДН</v>
      </c>
      <c r="AG9" t="str">
        <f ca="1">IFERROR(__xludf.DUMMYFUNCTION("""COMPUTED_VALUE"""),"45640 ВЕРХОВЦЕВО")</f>
        <v>45640 ВЕРХОВЦЕВО</v>
      </c>
      <c r="AH9" t="str">
        <f ca="1">IFERROR(__xludf.DUMMYFUNCTION("""COMPUTED_VALUE"""),"18.03.20 15-00")</f>
        <v>18.03.20 15-00</v>
      </c>
      <c r="AI9" s="21">
        <f ca="1">IFERROR(__xludf.DUMMYFUNCTION("""COMPUTED_VALUE"""),44420.3576504629)</f>
        <v>44420.357650462902</v>
      </c>
    </row>
    <row r="10" spans="1:35" ht="15.75" customHeight="1" x14ac:dyDescent="0.15">
      <c r="A10">
        <f ca="1">IFERROR(__xludf.DUMMYFUNCTION("""COMPUTED_VALUE"""),48)</f>
        <v>48</v>
      </c>
      <c r="B10" t="str">
        <f ca="1">IFERROR(__xludf.DUMMYFUNCTION("""COMPUTED_VALUE"""),"Техрейс")</f>
        <v>Техрейс</v>
      </c>
      <c r="C10" t="str">
        <f ca="1">IFERROR(__xludf.DUMMYFUNCTION("""COMPUTED_VALUE"""),"Керрилайн")</f>
        <v>Керрилайн</v>
      </c>
      <c r="D10">
        <f ca="1">IFERROR(__xludf.DUMMYFUNCTION("""COMPUTED_VALUE"""),52297850)</f>
        <v>52297850</v>
      </c>
      <c r="E10" t="str">
        <f ca="1">IFERROR(__xludf.DUMMYFUNCTION("""COMPUTED_VALUE"""),"60 ПОЛУВАГОНЫ")</f>
        <v>60 ПОЛУВАГОНЫ</v>
      </c>
      <c r="F10">
        <f ca="1">IFERROR(__xludf.DUMMYFUNCTION("""COMPUTED_VALUE"""),14109)</f>
        <v>14109</v>
      </c>
      <c r="G10" t="str">
        <f ca="1">IFERROR(__xludf.DUMMYFUNCTION("""COMPUTED_VALUE"""),"ГЕМАТИТ")</f>
        <v>ГЕМАТИТ</v>
      </c>
      <c r="H10">
        <f ca="1">IFERROR(__xludf.DUMMYFUNCTION("""COMPUTED_VALUE"""),71)</f>
        <v>71</v>
      </c>
      <c r="I10">
        <f ca="1">IFERROR(__xludf.DUMMYFUNCTION("""COMPUTED_VALUE"""),5786)</f>
        <v>5786</v>
      </c>
      <c r="J10" t="str">
        <f ca="1">IFERROR(__xludf.DUMMYFUNCTION("""COMPUTED_VALUE"""),"2001 (40050-082-46720) БЕРЕГОВАЯ - КРИВОЙ РОГ")</f>
        <v>2001 (40050-082-46720) БЕРЕГОВАЯ - КРИВОЙ РОГ</v>
      </c>
      <c r="K10">
        <f ca="1">IFERROR(__xludf.DUMMYFUNCTION("""COMPUTED_VALUE"""),40050)</f>
        <v>40050</v>
      </c>
      <c r="L10" t="str">
        <f ca="1">IFERROR(__xludf.DUMMYFUNCTION("""COMPUTED_VALUE"""),"БЕРЕГОВАЯ")</f>
        <v>БЕРЕГОВАЯ</v>
      </c>
      <c r="M10" t="str">
        <f ca="1">IFERROR(__xludf.DUMMYFUNCTION("""COMPUTED_VALUE"""),"12.08.21 03-40")</f>
        <v>12.08.21 03-40</v>
      </c>
      <c r="N10" t="str">
        <f ca="1">IFERROR(__xludf.DUMMYFUNCTION("""COMPUTED_VALUE"""),"21 ВЫГ2")</f>
        <v>21 ВЫГ2</v>
      </c>
      <c r="O10">
        <f ca="1">IFERROR(__xludf.DUMMYFUNCTION("""COMPUTED_VALUE"""),40060)</f>
        <v>40060</v>
      </c>
      <c r="P10" t="str">
        <f ca="1">IFERROR(__xludf.DUMMYFUNCTION("""COMPUTED_VALUE"""),"БЕРЕГОВАЯ-Э")</f>
        <v>БЕРЕГОВАЯ-Э</v>
      </c>
      <c r="Q10">
        <f ca="1">IFERROR(__xludf.DUMMYFUNCTION("""COMPUTED_VALUE"""),46720)</f>
        <v>46720</v>
      </c>
      <c r="R10" t="str">
        <f ca="1">IFERROR(__xludf.DUMMYFUNCTION("""COMPUTED_VALUE"""),"КРИВОЙ РОГ")</f>
        <v>КРИВОЙ РОГ</v>
      </c>
      <c r="S10" t="str">
        <f ca="1">IFERROR(__xludf.DUMMYFUNCTION("""COMPUTED_VALUE"""),"10.08.21 10-20")</f>
        <v>10.08.21 10-20</v>
      </c>
      <c r="U10" t="str">
        <f ca="1">IFERROR(__xludf.DUMMYFUNCTION("""COMPUTED_VALUE"""),"21.12.2023 ДР")</f>
        <v>21.12.2023 ДР</v>
      </c>
      <c r="Z10" t="str">
        <f ca="1">IFERROR(__xludf.DUMMYFUNCTION("""COMPUTED_VALUE"""),"ООО «НВ ТРАНС ГРУПП»")</f>
        <v>ООО «НВ ТРАНС ГРУПП»</v>
      </c>
      <c r="AA10" t="str">
        <f ca="1">IFERROR(__xludf.DUMMYFUNCTION("""COMPUTED_VALUE"""),"12-141")</f>
        <v>12-141</v>
      </c>
      <c r="AB10" t="str">
        <f ca="1">IFERROR(__xludf.DUMMYFUNCTION("""COMPUTED_VALUE"""),"32 Ю-ЗАП")</f>
        <v>32 Ю-ЗАП</v>
      </c>
      <c r="AC10" t="str">
        <f ca="1">IFERROR(__xludf.DUMMYFUNCTION("""COMPUTED_VALUE"""),"33000 ЖМЕРИНКА")</f>
        <v>33000 ЖМЕРИНКА</v>
      </c>
      <c r="AD10" t="str">
        <f ca="1">IFERROR(__xludf.DUMMYFUNCTION("""COMPUTED_VALUE"""),"08.12.20 08-39")</f>
        <v>08.12.20 08-39</v>
      </c>
      <c r="AE10" t="str">
        <f ca="1">IFERROR(__xludf.DUMMYFUNCTION("""COMPUTED_VALUE"""),"571 ИCТEК КAЛЕНДАРНЫЙ CPOК КAПИТAЛЬНОГО PEМOНТA")</f>
        <v>571 ИCТEК КAЛЕНДАРНЫЙ CPOК КAПИТAЛЬНОГО PEМOНТA</v>
      </c>
      <c r="AF10" t="str">
        <f ca="1">IFERROR(__xludf.DUMMYFUNCTION("""COMPUTED_VALUE"""),"32 Ю-ЗАП")</f>
        <v>32 Ю-ЗАП</v>
      </c>
      <c r="AG10" t="str">
        <f ca="1">IFERROR(__xludf.DUMMYFUNCTION("""COMPUTED_VALUE"""),"33000 ЖМЕРИНКА")</f>
        <v>33000 ЖМЕРИНКА</v>
      </c>
      <c r="AH10" t="str">
        <f ca="1">IFERROR(__xludf.DUMMYFUNCTION("""COMPUTED_VALUE"""),"21.12.20 15-35")</f>
        <v>21.12.20 15-35</v>
      </c>
      <c r="AI10" s="21">
        <f ca="1">IFERROR(__xludf.DUMMYFUNCTION("""COMPUTED_VALUE"""),44420.3576504629)</f>
        <v>44420.357650462902</v>
      </c>
    </row>
    <row r="11" spans="1:35" ht="15.75" customHeight="1" x14ac:dyDescent="0.15">
      <c r="A11">
        <f ca="1">IFERROR(__xludf.DUMMYFUNCTION("""COMPUTED_VALUE"""),49)</f>
        <v>49</v>
      </c>
      <c r="B11" t="str">
        <f ca="1">IFERROR(__xludf.DUMMYFUNCTION("""COMPUTED_VALUE"""),"Техрейс")</f>
        <v>Техрейс</v>
      </c>
      <c r="C11" t="str">
        <f ca="1">IFERROR(__xludf.DUMMYFUNCTION("""COMPUTED_VALUE"""),"Керрилайн")</f>
        <v>Керрилайн</v>
      </c>
      <c r="D11">
        <f ca="1">IFERROR(__xludf.DUMMYFUNCTION("""COMPUTED_VALUE"""),52177839)</f>
        <v>52177839</v>
      </c>
      <c r="E11" t="str">
        <f ca="1">IFERROR(__xludf.DUMMYFUNCTION("""COMPUTED_VALUE"""),"60 ПОЛУВАГОНЫ")</f>
        <v>60 ПОЛУВАГОНЫ</v>
      </c>
      <c r="F11">
        <f ca="1">IFERROR(__xludf.DUMMYFUNCTION("""COMPUTED_VALUE"""),16120)</f>
        <v>16120</v>
      </c>
      <c r="G11" t="str">
        <f ca="1">IFERROR(__xludf.DUMMYFUNCTION("""COMPUTED_VALUE"""),"УГОЛЬ КАМЕН ПР")</f>
        <v>УГОЛЬ КАМЕН ПР</v>
      </c>
      <c r="H11">
        <f ca="1">IFERROR(__xludf.DUMMYFUNCTION("""COMPUTED_VALUE"""),71)</f>
        <v>71</v>
      </c>
      <c r="I11">
        <f ca="1">IFERROR(__xludf.DUMMYFUNCTION("""COMPUTED_VALUE"""),3857)</f>
        <v>3857</v>
      </c>
      <c r="J11" t="str">
        <f ca="1">IFERROR(__xludf.DUMMYFUNCTION("""COMPUTED_VALUE"""),"9502 (40050-077-41270) БЕРЕГОВАЯ - КОЛОСОВКА")</f>
        <v>9502 (40050-077-41270) БЕРЕГОВАЯ - КОЛОСОВКА</v>
      </c>
      <c r="K11">
        <f ca="1">IFERROR(__xludf.DUMMYFUNCTION("""COMPUTED_VALUE"""),41270)</f>
        <v>41270</v>
      </c>
      <c r="L11" t="str">
        <f ca="1">IFERROR(__xludf.DUMMYFUNCTION("""COMPUTED_VALUE"""),"КОЛОСОВКА")</f>
        <v>КОЛОСОВКА</v>
      </c>
      <c r="M11" t="str">
        <f ca="1">IFERROR(__xludf.DUMMYFUNCTION("""COMPUTED_VALUE"""),"12.08.21 06-52")</f>
        <v>12.08.21 06-52</v>
      </c>
      <c r="N11" t="str">
        <f ca="1">IFERROR(__xludf.DUMMYFUNCTION("""COMPUTED_VALUE"""),"01 ПРИБ")</f>
        <v>01 ПРИБ</v>
      </c>
      <c r="O11">
        <f ca="1">IFERROR(__xludf.DUMMYFUNCTION("""COMPUTED_VALUE"""),46000)</f>
        <v>46000</v>
      </c>
      <c r="P11" t="str">
        <f ca="1">IFERROR(__xludf.DUMMYFUNCTION("""COMPUTED_VALUE"""),"ЗАПОРОЖ-ЛЕВ")</f>
        <v>ЗАПОРОЖ-ЛЕВ</v>
      </c>
      <c r="Q11">
        <f ca="1">IFERROR(__xludf.DUMMYFUNCTION("""COMPUTED_VALUE"""),40060)</f>
        <v>40060</v>
      </c>
      <c r="R11" t="str">
        <f ca="1">IFERROR(__xludf.DUMMYFUNCTION("""COMPUTED_VALUE"""),"БЕРЕГОВАЯ-Э")</f>
        <v>БЕРЕГОВАЯ-Э</v>
      </c>
      <c r="S11" t="str">
        <f ca="1">IFERROR(__xludf.DUMMYFUNCTION("""COMPUTED_VALUE"""),"11.08.21 21-05")</f>
        <v>11.08.21 21-05</v>
      </c>
      <c r="T11">
        <f ca="1">IFERROR(__xludf.DUMMYFUNCTION("""COMPUTED_VALUE"""),1100)</f>
        <v>1100</v>
      </c>
      <c r="U11" t="str">
        <f ca="1">IFERROR(__xludf.DUMMYFUNCTION("""COMPUTED_VALUE"""),"17.12.2023 ДР")</f>
        <v>17.12.2023 ДР</v>
      </c>
      <c r="Z11" t="str">
        <f ca="1">IFERROR(__xludf.DUMMYFUNCTION("""COMPUTED_VALUE"""),"ООО «КЕРРИЛАЙН»")</f>
        <v>ООО «КЕРРИЛАЙН»</v>
      </c>
      <c r="AA11" t="str">
        <f ca="1">IFERROR(__xludf.DUMMYFUNCTION("""COMPUTED_VALUE"""),"12-141")</f>
        <v>12-141</v>
      </c>
      <c r="AB11" t="str">
        <f ca="1">IFERROR(__xludf.DUMMYFUNCTION("""COMPUTED_VALUE"""),"35 ЛЬВ")</f>
        <v>35 ЛЬВ</v>
      </c>
      <c r="AC11" t="str">
        <f ca="1">IFERROR(__xludf.DUMMYFUNCTION("""COMPUTED_VALUE"""),"36000 ТЕРНОПОЛЬ")</f>
        <v>36000 ТЕРНОПОЛЬ</v>
      </c>
      <c r="AD11" t="str">
        <f ca="1">IFERROR(__xludf.DUMMYFUNCTION("""COMPUTED_VALUE"""),"27.06.21 14-40")</f>
        <v>27.06.21 14-40</v>
      </c>
      <c r="AE11" t="str">
        <f ca="1">IFERROR(__xludf.DUMMYFUNCTION("""COMPUTED_VALUE"""),"540 НEИCПPAВНOCТЬ ЗAПOPA ЛЮКA")</f>
        <v>540 НEИCПPAВНOCТЬ ЗAПOPA ЛЮКA</v>
      </c>
      <c r="AF11" t="str">
        <f ca="1">IFERROR(__xludf.DUMMYFUNCTION("""COMPUTED_VALUE"""),"35 ЛЬВ")</f>
        <v>35 ЛЬВ</v>
      </c>
      <c r="AG11" t="str">
        <f ca="1">IFERROR(__xludf.DUMMYFUNCTION("""COMPUTED_VALUE"""),"36000 ТЕРНОПОЛЬ")</f>
        <v>36000 ТЕРНОПОЛЬ</v>
      </c>
      <c r="AH11" t="str">
        <f ca="1">IFERROR(__xludf.DUMMYFUNCTION("""COMPUTED_VALUE"""),"01.07.21 15-00")</f>
        <v>01.07.21 15-00</v>
      </c>
      <c r="AI11" s="21">
        <f ca="1">IFERROR(__xludf.DUMMYFUNCTION("""COMPUTED_VALUE"""),44420.3576504629)</f>
        <v>44420.357650462902</v>
      </c>
    </row>
    <row r="12" spans="1:35" ht="15.75" customHeight="1" x14ac:dyDescent="0.15">
      <c r="A12">
        <f ca="1">IFERROR(__xludf.DUMMYFUNCTION("""COMPUTED_VALUE"""),50)</f>
        <v>50</v>
      </c>
      <c r="B12" t="str">
        <f ca="1">IFERROR(__xludf.DUMMYFUNCTION("""COMPUTED_VALUE"""),"Техрейс")</f>
        <v>Техрейс</v>
      </c>
      <c r="C12" t="str">
        <f ca="1">IFERROR(__xludf.DUMMYFUNCTION("""COMPUTED_VALUE"""),"СВ ТРАНС ГРУПП")</f>
        <v>СВ ТРАНС ГРУПП</v>
      </c>
      <c r="D12">
        <f ca="1">IFERROR(__xludf.DUMMYFUNCTION("""COMPUTED_VALUE"""),52293073)</f>
        <v>52293073</v>
      </c>
      <c r="E12" t="str">
        <f ca="1">IFERROR(__xludf.DUMMYFUNCTION("""COMPUTED_VALUE"""),"60 ПОЛУВАГОНЫ")</f>
        <v>60 ПОЛУВАГОНЫ</v>
      </c>
      <c r="F12">
        <f ca="1">IFERROR(__xludf.DUMMYFUNCTION("""COMPUTED_VALUE"""),29101)</f>
        <v>29101</v>
      </c>
      <c r="G12" t="str">
        <f ca="1">IFERROR(__xludf.DUMMYFUNCTION("""COMPUTED_VALUE"""),"ДОЛОМИТ Д/СТЕК")</f>
        <v>ДОЛОМИТ Д/СТЕК</v>
      </c>
      <c r="H12">
        <f ca="1">IFERROR(__xludf.DUMMYFUNCTION("""COMPUTED_VALUE"""),68)</f>
        <v>68</v>
      </c>
      <c r="I12">
        <f ca="1">IFERROR(__xludf.DUMMYFUNCTION("""COMPUTED_VALUE"""),6832)</f>
        <v>6832</v>
      </c>
      <c r="J12" t="str">
        <f ca="1">IFERROR(__xludf.DUMMYFUNCTION("""COMPUTED_VALUE"""),"3601 (45640-013-45650) ВЕРХОВЦЕВО - ВОЛЬНОГОРСК")</f>
        <v>3601 (45640-013-45650) ВЕРХОВЦЕВО - ВОЛЬНОГОРСК</v>
      </c>
      <c r="K12">
        <f ca="1">IFERROR(__xludf.DUMMYFUNCTION("""COMPUTED_VALUE"""),45650)</f>
        <v>45650</v>
      </c>
      <c r="L12" t="str">
        <f ca="1">IFERROR(__xludf.DUMMYFUNCTION("""COMPUTED_VALUE"""),"ВОЛЬНОГОРСК")</f>
        <v>ВОЛЬНОГОРСК</v>
      </c>
      <c r="M12" t="str">
        <f ca="1">IFERROR(__xludf.DUMMYFUNCTION("""COMPUTED_VALUE"""),"10.08.21 16-45")</f>
        <v>10.08.21 16-45</v>
      </c>
      <c r="N12" t="str">
        <f ca="1">IFERROR(__xludf.DUMMYFUNCTION("""COMPUTED_VALUE"""),"21 ВЫГ2")</f>
        <v>21 ВЫГ2</v>
      </c>
      <c r="O12">
        <f ca="1">IFERROR(__xludf.DUMMYFUNCTION("""COMPUTED_VALUE"""),45650)</f>
        <v>45650</v>
      </c>
      <c r="P12" t="str">
        <f ca="1">IFERROR(__xludf.DUMMYFUNCTION("""COMPUTED_VALUE"""),"ВОЛЬНОГОРСК")</f>
        <v>ВОЛЬНОГОРСК</v>
      </c>
      <c r="Q12">
        <f ca="1">IFERROR(__xludf.DUMMYFUNCTION("""COMPUTED_VALUE"""),41790)</f>
        <v>41790</v>
      </c>
      <c r="R12" t="str">
        <f ca="1">IFERROR(__xludf.DUMMYFUNCTION("""COMPUTED_VALUE"""),"ХЕРСОН-ПОРТ")</f>
        <v>ХЕРСОН-ПОРТ</v>
      </c>
      <c r="S12" t="str">
        <f ca="1">IFERROR(__xludf.DUMMYFUNCTION("""COMPUTED_VALUE"""),"01.08.21 14-05")</f>
        <v>01.08.21 14-05</v>
      </c>
      <c r="U12" t="str">
        <f ca="1">IFERROR(__xludf.DUMMYFUNCTION("""COMPUTED_VALUE"""),"18.09.2023 ДР")</f>
        <v>18.09.2023 ДР</v>
      </c>
      <c r="Z12" t="str">
        <f ca="1">IFERROR(__xludf.DUMMYFUNCTION("""COMPUTED_VALUE"""),"ООО «СВ ТРАНС ГРУПП»")</f>
        <v>ООО «СВ ТРАНС ГРУПП»</v>
      </c>
      <c r="AA12" t="str">
        <f ca="1">IFERROR(__xludf.DUMMYFUNCTION("""COMPUTED_VALUE"""),"12-141")</f>
        <v>12-141</v>
      </c>
      <c r="AB12" t="str">
        <f ca="1">IFERROR(__xludf.DUMMYFUNCTION("""COMPUTED_VALUE"""),"40 ОД")</f>
        <v>40 ОД</v>
      </c>
      <c r="AC12" t="str">
        <f ca="1">IFERROR(__xludf.DUMMYFUNCTION("""COMPUTED_VALUE"""),"40510 ОДЕССА-ЗАС I")</f>
        <v>40510 ОДЕССА-ЗАС I</v>
      </c>
      <c r="AD12" t="str">
        <f ca="1">IFERROR(__xludf.DUMMYFUNCTION("""COMPUTED_VALUE"""),"06.11.20 08-25")</f>
        <v>06.11.20 08-25</v>
      </c>
      <c r="AE12" t="str">
        <f ca="1">IFERROR(__xludf.DUMMYFUNCTION("""COMPUTED_VALUE"""),"540 НEИCПPAВНOCТЬ ЗAПOPA ЛЮКA")</f>
        <v>540 НEИCПPAВНOCТЬ ЗAПOPA ЛЮКA</v>
      </c>
      <c r="AF12" t="str">
        <f ca="1">IFERROR(__xludf.DUMMYFUNCTION("""COMPUTED_VALUE"""),"40 ОД")</f>
        <v>40 ОД</v>
      </c>
      <c r="AG12" t="str">
        <f ca="1">IFERROR(__xludf.DUMMYFUNCTION("""COMPUTED_VALUE"""),"40510 ОДЕССА-ЗАС I")</f>
        <v>40510 ОДЕССА-ЗАС I</v>
      </c>
      <c r="AH12" t="str">
        <f ca="1">IFERROR(__xludf.DUMMYFUNCTION("""COMPUTED_VALUE"""),"08.11.20 16-50")</f>
        <v>08.11.20 16-50</v>
      </c>
      <c r="AI12" s="21">
        <f ca="1">IFERROR(__xludf.DUMMYFUNCTION("""COMPUTED_VALUE"""),44420.3576504629)</f>
        <v>44420.357650462902</v>
      </c>
    </row>
    <row r="13" spans="1:35" ht="15.75" customHeight="1" x14ac:dyDescent="0.15">
      <c r="A13">
        <f ca="1">IFERROR(__xludf.DUMMYFUNCTION("""COMPUTED_VALUE"""),51)</f>
        <v>51</v>
      </c>
      <c r="B13" t="str">
        <f ca="1">IFERROR(__xludf.DUMMYFUNCTION("""COMPUTED_VALUE"""),"Техрейс")</f>
        <v>Техрейс</v>
      </c>
      <c r="C13" t="str">
        <f ca="1">IFERROR(__xludf.DUMMYFUNCTION("""COMPUTED_VALUE"""),"Керрилайн")</f>
        <v>Керрилайн</v>
      </c>
      <c r="D13">
        <f ca="1">IFERROR(__xludf.DUMMYFUNCTION("""COMPUTED_VALUE"""),55484141)</f>
        <v>55484141</v>
      </c>
      <c r="E13" t="str">
        <f ca="1">IFERROR(__xludf.DUMMYFUNCTION("""COMPUTED_VALUE"""),"60 ПОЛУВАГОНЫ")</f>
        <v>60 ПОЛУВАГОНЫ</v>
      </c>
      <c r="F13">
        <f ca="1">IFERROR(__xludf.DUMMYFUNCTION("""COMPUTED_VALUE"""),42103)</f>
        <v>42103</v>
      </c>
      <c r="G13" t="str">
        <f ca="1">IFERROR(__xludf.DUMMYFUNCTION("""COMPUTED_VALUE"""),"ВАГОНЫ ЖД СВ")</f>
        <v>ВАГОНЫ ЖД СВ</v>
      </c>
      <c r="H13">
        <f ca="1">IFERROR(__xludf.DUMMYFUNCTION("""COMPUTED_VALUE"""),0)</f>
        <v>0</v>
      </c>
      <c r="I13">
        <f ca="1">IFERROR(__xludf.DUMMYFUNCTION("""COMPUTED_VALUE"""),4307)</f>
        <v>4307</v>
      </c>
      <c r="J13" t="str">
        <f ca="1">IFERROR(__xludf.DUMMYFUNCTION("""COMPUTED_VALUE"""),"3636 (40050-040-40000) БЕРЕГОВАЯ - ОДЕССА-СОРТ")</f>
        <v>3636 (40050-040-40000) БЕРЕГОВАЯ - ОДЕССА-СОРТ</v>
      </c>
      <c r="K13">
        <f ca="1">IFERROR(__xludf.DUMMYFUNCTION("""COMPUTED_VALUE"""),40110)</f>
        <v>40110</v>
      </c>
      <c r="L13" t="str">
        <f ca="1">IFERROR(__xludf.DUMMYFUNCTION("""COMPUTED_VALUE"""),"ЧЕРНОМОРСКАЯ")</f>
        <v>ЧЕРНОМОРСКАЯ</v>
      </c>
      <c r="M13" t="str">
        <f ca="1">IFERROR(__xludf.DUMMYFUNCTION("""COMPUTED_VALUE"""),"11.08.21 06-52")</f>
        <v>11.08.21 06-52</v>
      </c>
      <c r="N13" t="str">
        <f ca="1">IFERROR(__xludf.DUMMYFUNCTION("""COMPUTED_VALUE"""),"85 ПРСТ")</f>
        <v>85 ПРСТ</v>
      </c>
      <c r="O13">
        <f ca="1">IFERROR(__xludf.DUMMYFUNCTION("""COMPUTED_VALUE"""),40200)</f>
        <v>40200</v>
      </c>
      <c r="P13" t="str">
        <f ca="1">IFERROR(__xludf.DUMMYFUNCTION("""COMPUTED_VALUE"""),"ЧЕРНОМОРСК-П")</f>
        <v>ЧЕРНОМОРСК-П</v>
      </c>
      <c r="Q13">
        <f ca="1">IFERROR(__xludf.DUMMYFUNCTION("""COMPUTED_VALUE"""),40050)</f>
        <v>40050</v>
      </c>
      <c r="R13" t="str">
        <f ca="1">IFERROR(__xludf.DUMMYFUNCTION("""COMPUTED_VALUE"""),"БЕРЕГОВАЯ")</f>
        <v>БЕРЕГОВАЯ</v>
      </c>
      <c r="S13" t="str">
        <f ca="1">IFERROR(__xludf.DUMMYFUNCTION("""COMPUTED_VALUE"""),"08.08.21 13-45")</f>
        <v>08.08.21 13-45</v>
      </c>
      <c r="T13">
        <f ca="1">IFERROR(__xludf.DUMMYFUNCTION("""COMPUTED_VALUE"""),8200)</f>
        <v>8200</v>
      </c>
      <c r="U13" t="str">
        <f ca="1">IFERROR(__xludf.DUMMYFUNCTION("""COMPUTED_VALUE"""),"24.06.2024 ДР")</f>
        <v>24.06.2024 ДР</v>
      </c>
      <c r="Z13" t="str">
        <f ca="1">IFERROR(__xludf.DUMMYFUNCTION("""COMPUTED_VALUE"""),"ООО «НВ ТРАНС ГРУПП»")</f>
        <v>ООО «НВ ТРАНС ГРУПП»</v>
      </c>
      <c r="AA13" t="str">
        <f ca="1">IFERROR(__xludf.DUMMYFUNCTION("""COMPUTED_VALUE"""),"12-532")</f>
        <v>12-532</v>
      </c>
      <c r="AB13" t="str">
        <f ca="1">IFERROR(__xludf.DUMMYFUNCTION("""COMPUTED_VALUE"""),"48 ДОН")</f>
        <v>48 ДОН</v>
      </c>
      <c r="AC13" t="str">
        <f ca="1">IFERROR(__xludf.DUMMYFUNCTION("""COMPUTED_VALUE"""),"48200 ПОКРОВСК")</f>
        <v>48200 ПОКРОВСК</v>
      </c>
      <c r="AD13" t="str">
        <f ca="1">IFERROR(__xludf.DUMMYFUNCTION("""COMPUTED_VALUE"""),"11.06.21 07-40")</f>
        <v>11.06.21 07-40</v>
      </c>
      <c r="AE13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13" t="str">
        <f ca="1">IFERROR(__xludf.DUMMYFUNCTION("""COMPUTED_VALUE"""),"48 ДОН")</f>
        <v>48 ДОН</v>
      </c>
      <c r="AG13" t="str">
        <f ca="1">IFERROR(__xludf.DUMMYFUNCTION("""COMPUTED_VALUE"""),"48200 ПОКРОВСК")</f>
        <v>48200 ПОКРОВСК</v>
      </c>
      <c r="AH13" t="str">
        <f ca="1">IFERROR(__xludf.DUMMYFUNCTION("""COMPUTED_VALUE"""),"24.06.21 17-00")</f>
        <v>24.06.21 17-00</v>
      </c>
      <c r="AI13" s="21">
        <f ca="1">IFERROR(__xludf.DUMMYFUNCTION("""COMPUTED_VALUE"""),44420.3576504629)</f>
        <v>44420.357650462902</v>
      </c>
    </row>
    <row r="14" spans="1:35" ht="15.75" customHeight="1" x14ac:dyDescent="0.15">
      <c r="A14">
        <f ca="1">IFERROR(__xludf.DUMMYFUNCTION("""COMPUTED_VALUE"""),52)</f>
        <v>52</v>
      </c>
      <c r="B14" t="str">
        <f ca="1">IFERROR(__xludf.DUMMYFUNCTION("""COMPUTED_VALUE"""),"Техрейс")</f>
        <v>Техрейс</v>
      </c>
      <c r="C14" t="str">
        <f ca="1">IFERROR(__xludf.DUMMYFUNCTION("""COMPUTED_VALUE"""),"Керрилайн")</f>
        <v>Керрилайн</v>
      </c>
      <c r="D14">
        <f ca="1">IFERROR(__xludf.DUMMYFUNCTION("""COMPUTED_VALUE"""),52377322)</f>
        <v>52377322</v>
      </c>
      <c r="E14" t="str">
        <f ca="1">IFERROR(__xludf.DUMMYFUNCTION("""COMPUTED_VALUE"""),"60 ПОЛУВАГОНЫ")</f>
        <v>60 ПОЛУВАГОНЫ</v>
      </c>
      <c r="F14">
        <f ca="1">IFERROR(__xludf.DUMMYFUNCTION("""COMPUTED_VALUE"""),42103)</f>
        <v>42103</v>
      </c>
      <c r="G14" t="str">
        <f ca="1">IFERROR(__xludf.DUMMYFUNCTION("""COMPUTED_VALUE"""),"ВАГОНЫ ЖД СВ")</f>
        <v>ВАГОНЫ ЖД СВ</v>
      </c>
      <c r="H14">
        <f ca="1">IFERROR(__xludf.DUMMYFUNCTION("""COMPUTED_VALUE"""),0)</f>
        <v>0</v>
      </c>
      <c r="I14">
        <f ca="1">IFERROR(__xludf.DUMMYFUNCTION("""COMPUTED_VALUE"""),1641)</f>
        <v>1641</v>
      </c>
      <c r="J14" t="str">
        <f ca="1">IFERROR(__xludf.DUMMYFUNCTION("""COMPUTED_VALUE"""),"1464 (37000-649-36000) ЛЬВОВ - ТЕРНОПОЛЬ")</f>
        <v>1464 (37000-649-36000) ЛЬВОВ - ТЕРНОПОЛЬ</v>
      </c>
      <c r="K14">
        <f ca="1">IFERROR(__xludf.DUMMYFUNCTION("""COMPUTED_VALUE"""),36000)</f>
        <v>36000</v>
      </c>
      <c r="L14" t="str">
        <f ca="1">IFERROR(__xludf.DUMMYFUNCTION("""COMPUTED_VALUE"""),"ТЕРНОПОЛЬ")</f>
        <v>ТЕРНОПОЛЬ</v>
      </c>
      <c r="M14" t="str">
        <f ca="1">IFERROR(__xludf.DUMMYFUNCTION("""COMPUTED_VALUE"""),"11.08.21 08-46")</f>
        <v>11.08.21 08-46</v>
      </c>
      <c r="N14" t="str">
        <f ca="1">IFERROR(__xludf.DUMMYFUNCTION("""COMPUTED_VALUE"""),"85 ПРСТ")</f>
        <v>85 ПРСТ</v>
      </c>
      <c r="O14">
        <f ca="1">IFERROR(__xludf.DUMMYFUNCTION("""COMPUTED_VALUE"""),36440)</f>
        <v>36440</v>
      </c>
      <c r="P14" t="str">
        <f ca="1">IFERROR(__xludf.DUMMYFUNCTION("""COMPUTED_VALUE"""),"БУЧАЧ")</f>
        <v>БУЧАЧ</v>
      </c>
      <c r="Q14">
        <f ca="1">IFERROR(__xludf.DUMMYFUNCTION("""COMPUTED_VALUE"""),38840)</f>
        <v>38840</v>
      </c>
      <c r="R14" t="str">
        <f ca="1">IFERROR(__xludf.DUMMYFUNCTION("""COMPUTED_VALUE"""),"ИВАНО-ФРАНК")</f>
        <v>ИВАНО-ФРАНК</v>
      </c>
      <c r="S14" t="str">
        <f ca="1">IFERROR(__xludf.DUMMYFUNCTION("""COMPUTED_VALUE"""),"04.08.21 19-25")</f>
        <v>04.08.21 19-25</v>
      </c>
      <c r="T14">
        <f ca="1">IFERROR(__xludf.DUMMYFUNCTION("""COMPUTED_VALUE"""),8200)</f>
        <v>8200</v>
      </c>
      <c r="U14" t="str">
        <f ca="1">IFERROR(__xludf.DUMMYFUNCTION("""COMPUTED_VALUE"""),"25.03.2024 ДР")</f>
        <v>25.03.2024 ДР</v>
      </c>
      <c r="Z14" t="str">
        <f ca="1">IFERROR(__xludf.DUMMYFUNCTION("""COMPUTED_VALUE"""),"ООО «НВ ТРАНС ГРУПП»")</f>
        <v>ООО «НВ ТРАНС ГРУПП»</v>
      </c>
      <c r="AA14" t="str">
        <f ca="1">IFERROR(__xludf.DUMMYFUNCTION("""COMPUTED_VALUE"""),"12-141")</f>
        <v>12-141</v>
      </c>
      <c r="AB14" t="str">
        <f ca="1">IFERROR(__xludf.DUMMYFUNCTION("""COMPUTED_VALUE"""),"32 Ю-ЗАП")</f>
        <v>32 Ю-ЗАП</v>
      </c>
      <c r="AC14" t="str">
        <f ca="1">IFERROR(__xludf.DUMMYFUNCTION("""COMPUTED_VALUE"""),"34270 КАЗАТИН I")</f>
        <v>34270 КАЗАТИН I</v>
      </c>
      <c r="AD14" t="str">
        <f ca="1">IFERROR(__xludf.DUMMYFUNCTION("""COMPUTED_VALUE"""),"24.07.21 22-55")</f>
        <v>24.07.21 22-55</v>
      </c>
      <c r="AE14" t="str">
        <f ca="1">IFERROR(__xludf.DUMMYFUNCTION("""COMPUTED_VALUE"""),"157")</f>
        <v>157</v>
      </c>
      <c r="AF14" t="str">
        <f ca="1">IFERROR(__xludf.DUMMYFUNCTION("""COMPUTED_VALUE"""),"32 Ю-ЗАП")</f>
        <v>32 Ю-ЗАП</v>
      </c>
      <c r="AG14" t="str">
        <f ca="1">IFERROR(__xludf.DUMMYFUNCTION("""COMPUTED_VALUE"""),"34270 КАЗАТИН I")</f>
        <v>34270 КАЗАТИН I</v>
      </c>
      <c r="AH14" t="str">
        <f ca="1">IFERROR(__xludf.DUMMYFUNCTION("""COMPUTED_VALUE"""),"01.08.21 14-00")</f>
        <v>01.08.21 14-00</v>
      </c>
      <c r="AI14" s="21">
        <f ca="1">IFERROR(__xludf.DUMMYFUNCTION("""COMPUTED_VALUE"""),44420.3576504629)</f>
        <v>44420.357650462902</v>
      </c>
    </row>
    <row r="15" spans="1:35" ht="15.75" customHeight="1" x14ac:dyDescent="0.15">
      <c r="A15">
        <f ca="1">IFERROR(__xludf.DUMMYFUNCTION("""COMPUTED_VALUE"""),53)</f>
        <v>53</v>
      </c>
      <c r="B15" t="str">
        <f ca="1">IFERROR(__xludf.DUMMYFUNCTION("""COMPUTED_VALUE"""),"Лидер")</f>
        <v>Лидер</v>
      </c>
      <c r="C15" t="str">
        <f ca="1">IFERROR(__xludf.DUMMYFUNCTION("""COMPUTED_VALUE"""),"СВ ТРАНС ГРУПП")</f>
        <v>СВ ТРАНС ГРУПП</v>
      </c>
      <c r="D15">
        <f ca="1">IFERROR(__xludf.DUMMYFUNCTION("""COMPUTED_VALUE"""),56285455)</f>
        <v>56285455</v>
      </c>
      <c r="E15" t="str">
        <f ca="1">IFERROR(__xludf.DUMMYFUNCTION("""COMPUTED_VALUE"""),"60 ПОЛУВАГОНЫ")</f>
        <v>60 ПОЛУВАГОНЫ</v>
      </c>
      <c r="F15">
        <f ca="1">IFERROR(__xludf.DUMMYFUNCTION("""COMPUTED_VALUE"""),42103)</f>
        <v>42103</v>
      </c>
      <c r="G15" t="str">
        <f ca="1">IFERROR(__xludf.DUMMYFUNCTION("""COMPUTED_VALUE"""),"ВАГОНЫ ЖД СВ")</f>
        <v>ВАГОНЫ ЖД СВ</v>
      </c>
      <c r="H15">
        <f ca="1">IFERROR(__xludf.DUMMYFUNCTION("""COMPUTED_VALUE"""),0)</f>
        <v>0</v>
      </c>
      <c r="I15">
        <f ca="1">IFERROR(__xludf.DUMMYFUNCTION("""COMPUTED_VALUE"""),3437)</f>
        <v>3437</v>
      </c>
      <c r="J15" t="str">
        <f ca="1">IFERROR(__xludf.DUMMYFUNCTION("""COMPUTED_VALUE"""),"2727 (44020-209-32000) ОСНОВА - ДАРНИЦА")</f>
        <v>2727 (44020-209-32000) ОСНОВА - ДАРНИЦА</v>
      </c>
      <c r="K15">
        <f ca="1">IFERROR(__xludf.DUMMYFUNCTION("""COMPUTED_VALUE"""),32250)</f>
        <v>32250</v>
      </c>
      <c r="L15" t="str">
        <f ca="1">IFERROR(__xludf.DUMMYFUNCTION("""COMPUTED_VALUE"""),"ИМ.Г.КИРПЫ")</f>
        <v>ИМ.Г.КИРПЫ</v>
      </c>
      <c r="M15" t="str">
        <f ca="1">IFERROR(__xludf.DUMMYFUNCTION("""COMPUTED_VALUE"""),"11.08.21 15-01")</f>
        <v>11.08.21 15-01</v>
      </c>
      <c r="N15" t="str">
        <f ca="1">IFERROR(__xludf.DUMMYFUNCTION("""COMPUTED_VALUE"""),"01 ПРИБ")</f>
        <v>01 ПРИБ</v>
      </c>
      <c r="O15">
        <f ca="1">IFERROR(__xludf.DUMMYFUNCTION("""COMPUTED_VALUE"""),34750)</f>
        <v>34750</v>
      </c>
      <c r="P15" t="str">
        <f ca="1">IFERROR(__xludf.DUMMYFUNCTION("""COMPUTED_VALUE"""),"ПЕНИЗЕВИЧИ")</f>
        <v>ПЕНИЗЕВИЧИ</v>
      </c>
      <c r="Q15">
        <f ca="1">IFERROR(__xludf.DUMMYFUNCTION("""COMPUTED_VALUE"""),49870)</f>
        <v>49870</v>
      </c>
      <c r="R15" t="str">
        <f ca="1">IFERROR(__xludf.DUMMYFUNCTION("""COMPUTED_VALUE"""),"РУБЕЖНОЕ")</f>
        <v>РУБЕЖНОЕ</v>
      </c>
      <c r="S15" t="str">
        <f ca="1">IFERROR(__xludf.DUMMYFUNCTION("""COMPUTED_VALUE"""),"07.08.21 23-10")</f>
        <v>07.08.21 23-10</v>
      </c>
      <c r="T15">
        <f ca="1">IFERROR(__xludf.DUMMYFUNCTION("""COMPUTED_VALUE"""),2992)</f>
        <v>2992</v>
      </c>
      <c r="U15" t="str">
        <f ca="1">IFERROR(__xludf.DUMMYFUNCTION("""COMPUTED_VALUE"""),"12.03.2024 ДР")</f>
        <v>12.03.2024 ДР</v>
      </c>
      <c r="Z15" t="str">
        <f ca="1">IFERROR(__xludf.DUMMYFUNCTION("""COMPUTED_VALUE"""),"ООО «СВ ТРАНС ГРУПП»")</f>
        <v>ООО «СВ ТРАНС ГРУПП»</v>
      </c>
      <c r="AA15" t="str">
        <f ca="1">IFERROR(__xludf.DUMMYFUNCTION("""COMPUTED_VALUE"""),"12-141")</f>
        <v>12-141</v>
      </c>
      <c r="AB15" t="str">
        <f ca="1">IFERROR(__xludf.DUMMYFUNCTION("""COMPUTED_VALUE"""),"45 ПРИДН")</f>
        <v>45 ПРИДН</v>
      </c>
      <c r="AC15" t="str">
        <f ca="1">IFERROR(__xludf.DUMMYFUNCTION("""COMPUTED_VALUE"""),"45170 ПРАВДА")</f>
        <v>45170 ПРАВДА</v>
      </c>
      <c r="AD15" t="str">
        <f ca="1">IFERROR(__xludf.DUMMYFUNCTION("""COMPUTED_VALUE"""),"13.04.21 20-05")</f>
        <v>13.04.21 20-05</v>
      </c>
      <c r="AE15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5" t="str">
        <f ca="1">IFERROR(__xludf.DUMMYFUNCTION("""COMPUTED_VALUE"""),"45 ПРИДН")</f>
        <v>45 ПРИДН</v>
      </c>
      <c r="AG15" t="str">
        <f ca="1">IFERROR(__xludf.DUMMYFUNCTION("""COMPUTED_VALUE"""),"45170 ПРАВДА")</f>
        <v>45170 ПРАВДА</v>
      </c>
      <c r="AH15" t="str">
        <f ca="1">IFERROR(__xludf.DUMMYFUNCTION("""COMPUTED_VALUE"""),"14.04.21 15-00")</f>
        <v>14.04.21 15-00</v>
      </c>
      <c r="AI15" s="21">
        <f ca="1">IFERROR(__xludf.DUMMYFUNCTION("""COMPUTED_VALUE"""),44420.3576504629)</f>
        <v>44420.357650462902</v>
      </c>
    </row>
    <row r="16" spans="1:35" ht="15.75" customHeight="1" x14ac:dyDescent="0.15">
      <c r="A16">
        <f ca="1">IFERROR(__xludf.DUMMYFUNCTION("""COMPUTED_VALUE"""),54)</f>
        <v>54</v>
      </c>
      <c r="B16" t="str">
        <f ca="1">IFERROR(__xludf.DUMMYFUNCTION("""COMPUTED_VALUE"""),"Техрейс")</f>
        <v>Техрейс</v>
      </c>
      <c r="C16" t="str">
        <f ca="1">IFERROR(__xludf.DUMMYFUNCTION("""COMPUTED_VALUE"""),"Керрилайн")</f>
        <v>Керрилайн</v>
      </c>
      <c r="D16">
        <f ca="1">IFERROR(__xludf.DUMMYFUNCTION("""COMPUTED_VALUE"""),56070998)</f>
        <v>56070998</v>
      </c>
      <c r="E16" t="str">
        <f ca="1">IFERROR(__xludf.DUMMYFUNCTION("""COMPUTED_VALUE"""),"60 ПОЛУВАГОНЫ")</f>
        <v>60 ПОЛУВАГОНЫ</v>
      </c>
      <c r="F16">
        <f ca="1">IFERROR(__xludf.DUMMYFUNCTION("""COMPUTED_VALUE"""),53106)</f>
        <v>53106</v>
      </c>
      <c r="G16" t="str">
        <f ca="1">IFERROR(__xludf.DUMMYFUNCTION("""COMPUTED_VALUE"""),"СОЛЬ ТЕХНИЧ")</f>
        <v>СОЛЬ ТЕХНИЧ</v>
      </c>
      <c r="H16">
        <f ca="1">IFERROR(__xludf.DUMMYFUNCTION("""COMPUTED_VALUE"""),70)</f>
        <v>70</v>
      </c>
      <c r="I16">
        <f ca="1">IFERROR(__xludf.DUMMYFUNCTION("""COMPUTED_VALUE"""),3526)</f>
        <v>3526</v>
      </c>
      <c r="J16" t="str">
        <f ca="1">IFERROR(__xludf.DUMMYFUNCTION("""COMPUTED_VALUE"""),"3729 (03540-038-03526) АВТОВО-ПЕРЕ -")</f>
        <v>3729 (03540-038-03526) АВТОВО-ПЕРЕ -</v>
      </c>
      <c r="K16">
        <f ca="1">IFERROR(__xludf.DUMMYFUNCTION("""COMPUTED_VALUE"""),35260)</f>
        <v>35260</v>
      </c>
      <c r="L16" t="str">
        <f ca="1">IFERROR(__xludf.DUMMYFUNCTION("""COMPUTED_VALUE"""),"ИЗОВ-Э-ПКП")</f>
        <v>ИЗОВ-Э-ПКП</v>
      </c>
      <c r="M16" t="str">
        <f ca="1">IFERROR(__xludf.DUMMYFUNCTION("""COMPUTED_VALUE"""),"09.08.21 21-28")</f>
        <v>09.08.21 21-28</v>
      </c>
      <c r="N16" t="str">
        <f ca="1">IFERROR(__xludf.DUMMYFUNCTION("""COMPUTED_VALUE"""),"23 СДЧ")</f>
        <v>23 СДЧ</v>
      </c>
      <c r="O16">
        <f ca="1">IFERROR(__xludf.DUMMYFUNCTION("""COMPUTED_VALUE"""),35260)</f>
        <v>35260</v>
      </c>
      <c r="P16" t="str">
        <f ca="1">IFERROR(__xludf.DUMMYFUNCTION("""COMPUTED_VALUE"""),"ИЗОВ-Э-ПКП")</f>
        <v>ИЗОВ-Э-ПКП</v>
      </c>
      <c r="Q16">
        <f ca="1">IFERROR(__xludf.DUMMYFUNCTION("""COMPUTED_VALUE"""),49480)</f>
        <v>49480</v>
      </c>
      <c r="R16" t="str">
        <f ca="1">IFERROR(__xludf.DUMMYFUNCTION("""COMPUTED_VALUE"""),"СОЛЬ")</f>
        <v>СОЛЬ</v>
      </c>
      <c r="S16" t="str">
        <f ca="1">IFERROR(__xludf.DUMMYFUNCTION("""COMPUTED_VALUE"""),"02.08.21 15-35")</f>
        <v>02.08.21 15-35</v>
      </c>
      <c r="T16">
        <f ca="1">IFERROR(__xludf.DUMMYFUNCTION("""COMPUTED_VALUE"""),4714)</f>
        <v>4714</v>
      </c>
      <c r="U16" t="str">
        <f ca="1">IFERROR(__xludf.DUMMYFUNCTION("""COMPUTED_VALUE"""),"29.12.2023 ДР")</f>
        <v>29.12.2023 ДР</v>
      </c>
      <c r="Z16" t="str">
        <f ca="1">IFERROR(__xludf.DUMMYFUNCTION("""COMPUTED_VALUE"""),"ООО «НВ ТРАНС ГРУПП»")</f>
        <v>ООО «НВ ТРАНС ГРУПП»</v>
      </c>
      <c r="AA16" t="str">
        <f ca="1">IFERROR(__xludf.DUMMYFUNCTION("""COMPUTED_VALUE"""),"12-127")</f>
        <v>12-127</v>
      </c>
      <c r="AB16" t="str">
        <f ca="1">IFERROR(__xludf.DUMMYFUNCTION("""COMPUTED_VALUE"""),"45 ПРИДН")</f>
        <v>45 ПРИДН</v>
      </c>
      <c r="AC16" t="str">
        <f ca="1">IFERROR(__xludf.DUMMYFUNCTION("""COMPUTED_VALUE"""),"47660 ДНЕПРОРУДНАЯ")</f>
        <v>47660 ДНЕПРОРУДНАЯ</v>
      </c>
      <c r="AD16" t="str">
        <f ca="1">IFERROR(__xludf.DUMMYFUNCTION("""COMPUTED_VALUE"""),"26.03.21 12-00")</f>
        <v>26.03.21 12-00</v>
      </c>
      <c r="AE16" t="str">
        <f ca="1">IFERROR(__xludf.DUMMYFUNCTION("""COMPUTED_VALUE"""),"540 НEИCПPAВНOCТЬ ЗAПOPA ЛЮКA")</f>
        <v>540 НEИCПPAВНOCТЬ ЗAПOPA ЛЮКA</v>
      </c>
      <c r="AF16" t="str">
        <f ca="1">IFERROR(__xludf.DUMMYFUNCTION("""COMPUTED_VALUE"""),"45 ПРИДН")</f>
        <v>45 ПРИДН</v>
      </c>
      <c r="AG16" t="str">
        <f ca="1">IFERROR(__xludf.DUMMYFUNCTION("""COMPUTED_VALUE"""),"47660 ДНЕПРОРУДНАЯ")</f>
        <v>47660 ДНЕПРОРУДНАЯ</v>
      </c>
      <c r="AH16" t="str">
        <f ca="1">IFERROR(__xludf.DUMMYFUNCTION("""COMPUTED_VALUE"""),"27.03.21 18-00")</f>
        <v>27.03.21 18-00</v>
      </c>
      <c r="AI16" s="21">
        <f ca="1">IFERROR(__xludf.DUMMYFUNCTION("""COMPUTED_VALUE"""),44420.3576504629)</f>
        <v>44420.357650462902</v>
      </c>
    </row>
    <row r="17" spans="1:35" ht="15.75" customHeight="1" x14ac:dyDescent="0.15">
      <c r="A17">
        <f ca="1">IFERROR(__xludf.DUMMYFUNCTION("""COMPUTED_VALUE"""),55)</f>
        <v>55</v>
      </c>
      <c r="B17" t="str">
        <f ca="1">IFERROR(__xludf.DUMMYFUNCTION("""COMPUTED_VALUE"""),"Техрейс")</f>
        <v>Техрейс</v>
      </c>
      <c r="C17" t="str">
        <f ca="1">IFERROR(__xludf.DUMMYFUNCTION("""COMPUTED_VALUE"""),"СВ ТРАНС ГРУПП")</f>
        <v>СВ ТРАНС ГРУПП</v>
      </c>
      <c r="D17">
        <f ca="1">IFERROR(__xludf.DUMMYFUNCTION("""COMPUTED_VALUE"""),52379278)</f>
        <v>52379278</v>
      </c>
      <c r="E17" t="str">
        <f ca="1">IFERROR(__xludf.DUMMYFUNCTION("""COMPUTED_VALUE"""),"60 ПОЛУВАГОНЫ")</f>
        <v>60 ПОЛУВАГОНЫ</v>
      </c>
      <c r="F17">
        <f ca="1">IFERROR(__xludf.DUMMYFUNCTION("""COMPUTED_VALUE"""),42103)</f>
        <v>42103</v>
      </c>
      <c r="G17" t="str">
        <f ca="1">IFERROR(__xludf.DUMMYFUNCTION("""COMPUTED_VALUE"""),"ВАГОНЫ ЖД СВ")</f>
        <v>ВАГОНЫ ЖД СВ</v>
      </c>
      <c r="H17">
        <f ca="1">IFERROR(__xludf.DUMMYFUNCTION("""COMPUTED_VALUE"""),0)</f>
        <v>0</v>
      </c>
      <c r="I17">
        <f ca="1">IFERROR(__xludf.DUMMYFUNCTION("""COMPUTED_VALUE"""),5377)</f>
        <v>5377</v>
      </c>
      <c r="J17" t="str">
        <f ca="1">IFERROR(__xludf.DUMMYFUNCTION("""COMPUTED_VALUE"""),"3507 (49000-719-49450) ЛИМАН - КУРДЮМОВКА")</f>
        <v>3507 (49000-719-49450) ЛИМАН - КУРДЮМОВКА</v>
      </c>
      <c r="K17">
        <f ca="1">IFERROR(__xludf.DUMMYFUNCTION("""COMPUTED_VALUE"""),49480)</f>
        <v>49480</v>
      </c>
      <c r="L17" t="str">
        <f ca="1">IFERROR(__xludf.DUMMYFUNCTION("""COMPUTED_VALUE"""),"СОЛЬ")</f>
        <v>СОЛЬ</v>
      </c>
      <c r="M17" t="str">
        <f ca="1">IFERROR(__xludf.DUMMYFUNCTION("""COMPUTED_VALUE"""),"12.08.21 05-20")</f>
        <v>12.08.21 05-20</v>
      </c>
      <c r="N17" t="str">
        <f ca="1">IFERROR(__xludf.DUMMYFUNCTION("""COMPUTED_VALUE"""),"98 ОТОТ")</f>
        <v>98 ОТОТ</v>
      </c>
      <c r="O17">
        <f ca="1">IFERROR(__xludf.DUMMYFUNCTION("""COMPUTED_VALUE"""),49480)</f>
        <v>49480</v>
      </c>
      <c r="P17" t="str">
        <f ca="1">IFERROR(__xludf.DUMMYFUNCTION("""COMPUTED_VALUE"""),"СОЛЬ")</f>
        <v>СОЛЬ</v>
      </c>
      <c r="Q17">
        <f ca="1">IFERROR(__xludf.DUMMYFUNCTION("""COMPUTED_VALUE"""),44100)</f>
        <v>44100</v>
      </c>
      <c r="R17" t="str">
        <f ca="1">IFERROR(__xludf.DUMMYFUNCTION("""COMPUTED_VALUE"""),"КУРЯЖ")</f>
        <v>КУРЯЖ</v>
      </c>
      <c r="S17" t="str">
        <f ca="1">IFERROR(__xludf.DUMMYFUNCTION("""COMPUTED_VALUE"""),"07.08.21 17-40")</f>
        <v>07.08.21 17-40</v>
      </c>
      <c r="T17">
        <f ca="1">IFERROR(__xludf.DUMMYFUNCTION("""COMPUTED_VALUE"""),8200)</f>
        <v>8200</v>
      </c>
      <c r="U17" t="str">
        <f ca="1">IFERROR(__xludf.DUMMYFUNCTION("""COMPUTED_VALUE"""),"30.04.2024 ДР")</f>
        <v>30.04.2024 ДР</v>
      </c>
      <c r="Z17" t="str">
        <f ca="1">IFERROR(__xludf.DUMMYFUNCTION("""COMPUTED_VALUE"""),"ООО «СВ ТРАНС ГРУПП»")</f>
        <v>ООО «СВ ТРАНС ГРУПП»</v>
      </c>
      <c r="AA17" t="str">
        <f ca="1">IFERROR(__xludf.DUMMYFUNCTION("""COMPUTED_VALUE"""),"12-141")</f>
        <v>12-141</v>
      </c>
      <c r="AB17" t="str">
        <f ca="1">IFERROR(__xludf.DUMMYFUNCTION("""COMPUTED_VALUE"""),"48 ДОН")</f>
        <v>48 ДОН</v>
      </c>
      <c r="AC17" t="str">
        <f ca="1">IFERROR(__xludf.DUMMYFUNCTION("""COMPUTED_VALUE"""),"48200 ПОКРОВСК")</f>
        <v>48200 ПОКРОВСК</v>
      </c>
      <c r="AD17" t="str">
        <f ca="1">IFERROR(__xludf.DUMMYFUNCTION("""COMPUTED_VALUE"""),"28.04.21 10-30")</f>
        <v>28.04.21 10-30</v>
      </c>
      <c r="AE17" t="str">
        <f ca="1">IFERROR(__xludf.DUMMYFUNCTION("""COMPUTED_VALUE"""),"571 ИCТEК КAЛЕНДАРНЫЙ CPOК КAПИТAЛЬНОГО PEМOНТA")</f>
        <v>571 ИCТEК КAЛЕНДАРНЫЙ CPOК КAПИТAЛЬНОГО PEМOНТA</v>
      </c>
      <c r="AF17" t="str">
        <f ca="1">IFERROR(__xludf.DUMMYFUNCTION("""COMPUTED_VALUE"""),"48 ДОН")</f>
        <v>48 ДОН</v>
      </c>
      <c r="AG17" t="str">
        <f ca="1">IFERROR(__xludf.DUMMYFUNCTION("""COMPUTED_VALUE"""),"48200 ПОКРОВСК")</f>
        <v>48200 ПОКРОВСК</v>
      </c>
      <c r="AH17" t="str">
        <f ca="1">IFERROR(__xludf.DUMMYFUNCTION("""COMPUTED_VALUE"""),"30.04.21 11-00")</f>
        <v>30.04.21 11-00</v>
      </c>
      <c r="AI17" s="21">
        <f ca="1">IFERROR(__xludf.DUMMYFUNCTION("""COMPUTED_VALUE"""),44420.3576504629)</f>
        <v>44420.357650462902</v>
      </c>
    </row>
    <row r="18" spans="1:35" ht="15.75" customHeight="1" x14ac:dyDescent="0.15">
      <c r="A18">
        <f ca="1">IFERROR(__xludf.DUMMYFUNCTION("""COMPUTED_VALUE"""),56)</f>
        <v>56</v>
      </c>
      <c r="B18" t="str">
        <f ca="1">IFERROR(__xludf.DUMMYFUNCTION("""COMPUTED_VALUE"""),"Техрейс")</f>
        <v>Техрейс</v>
      </c>
      <c r="C18" t="str">
        <f ca="1">IFERROR(__xludf.DUMMYFUNCTION("""COMPUTED_VALUE"""),"СВ ТРАНС ГРУПП")</f>
        <v>СВ ТРАНС ГРУПП</v>
      </c>
      <c r="D18">
        <f ca="1">IFERROR(__xludf.DUMMYFUNCTION("""COMPUTED_VALUE"""),52378718)</f>
        <v>52378718</v>
      </c>
      <c r="E18" t="str">
        <f ca="1">IFERROR(__xludf.DUMMYFUNCTION("""COMPUTED_VALUE"""),"60 ПОЛУВАГОНЫ")</f>
        <v>60 ПОЛУВАГОНЫ</v>
      </c>
      <c r="F18">
        <f ca="1">IFERROR(__xludf.DUMMYFUNCTION("""COMPUTED_VALUE"""),17110)</f>
        <v>17110</v>
      </c>
      <c r="G18" t="str">
        <f ca="1">IFERROR(__xludf.DUMMYFUNCTION("""COMPUTED_VALUE"""),"МЕЛОЧЬ КОКСОВ")</f>
        <v>МЕЛОЧЬ КОКСОВ</v>
      </c>
      <c r="H18">
        <f ca="1">IFERROR(__xludf.DUMMYFUNCTION("""COMPUTED_VALUE"""),50)</f>
        <v>50</v>
      </c>
      <c r="I18">
        <f ca="1">IFERROR(__xludf.DUMMYFUNCTION("""COMPUTED_VALUE"""),3134)</f>
        <v>3134</v>
      </c>
      <c r="J18" t="str">
        <f ca="1">IFERROR(__xludf.DUMMYFUNCTION("""COMPUTED_VALUE"""),"2657 (46000-082-48620) ЗАПОРОЖ-ЛЕВ - ВОЛНОВАХА")</f>
        <v>2657 (46000-082-48620) ЗАПОРОЖ-ЛЕВ - ВОЛНОВАХА</v>
      </c>
      <c r="K18">
        <f ca="1">IFERROR(__xludf.DUMMYFUNCTION("""COMPUTED_VALUE"""),46000)</f>
        <v>46000</v>
      </c>
      <c r="L18" t="str">
        <f ca="1">IFERROR(__xludf.DUMMYFUNCTION("""COMPUTED_VALUE"""),"ЗАПОРОЖ-ЛЕВ")</f>
        <v>ЗАПОРОЖ-ЛЕВ</v>
      </c>
      <c r="M18" t="str">
        <f ca="1">IFERROR(__xludf.DUMMYFUNCTION("""COMPUTED_VALUE"""),"11.08.21 18-43")</f>
        <v>11.08.21 18-43</v>
      </c>
      <c r="N18" t="str">
        <f ca="1">IFERROR(__xludf.DUMMYFUNCTION("""COMPUTED_VALUE"""),"85 ПРСТ")</f>
        <v>85 ПРСТ</v>
      </c>
      <c r="O18">
        <f ca="1">IFERROR(__xludf.DUMMYFUNCTION("""COMPUTED_VALUE"""),48500)</f>
        <v>48500</v>
      </c>
      <c r="P18" t="str">
        <f ca="1">IFERROR(__xludf.DUMMYFUNCTION("""COMPUTED_VALUE"""),"АСЛАНОВО")</f>
        <v>АСЛАНОВО</v>
      </c>
      <c r="Q18">
        <f ca="1">IFERROR(__xludf.DUMMYFUNCTION("""COMPUTED_VALUE"""),46720)</f>
        <v>46720</v>
      </c>
      <c r="R18" t="str">
        <f ca="1">IFERROR(__xludf.DUMMYFUNCTION("""COMPUTED_VALUE"""),"КРИВОЙ РОГ")</f>
        <v>КРИВОЙ РОГ</v>
      </c>
      <c r="S18" t="str">
        <f ca="1">IFERROR(__xludf.DUMMYFUNCTION("""COMPUTED_VALUE"""),"10.08.21 18-30")</f>
        <v>10.08.21 18-30</v>
      </c>
      <c r="T18">
        <f ca="1">IFERROR(__xludf.DUMMYFUNCTION("""COMPUTED_VALUE"""),5343)</f>
        <v>5343</v>
      </c>
      <c r="U18" t="str">
        <f ca="1">IFERROR(__xludf.DUMMYFUNCTION("""COMPUTED_VALUE"""),"30.04.2024 ДР")</f>
        <v>30.04.2024 ДР</v>
      </c>
      <c r="Z18" t="str">
        <f ca="1">IFERROR(__xludf.DUMMYFUNCTION("""COMPUTED_VALUE"""),"ООО «СВ ТРАНС ГРУПП»")</f>
        <v>ООО «СВ ТРАНС ГРУПП»</v>
      </c>
      <c r="AA18" t="str">
        <f ca="1">IFERROR(__xludf.DUMMYFUNCTION("""COMPUTED_VALUE"""),"12-141")</f>
        <v>12-141</v>
      </c>
      <c r="AB18" t="str">
        <f ca="1">IFERROR(__xludf.DUMMYFUNCTION("""COMPUTED_VALUE"""),"48 ДОН")</f>
        <v>48 ДОН</v>
      </c>
      <c r="AC18" t="str">
        <f ca="1">IFERROR(__xludf.DUMMYFUNCTION("""COMPUTED_VALUE"""),"48200 ПОКРОВСК")</f>
        <v>48200 ПОКРОВСК</v>
      </c>
      <c r="AD18" t="str">
        <f ca="1">IFERROR(__xludf.DUMMYFUNCTION("""COMPUTED_VALUE"""),"28.04.21 10-30")</f>
        <v>28.04.21 10-30</v>
      </c>
      <c r="AE18" t="str">
        <f ca="1">IFERROR(__xludf.DUMMYFUNCTION("""COMPUTED_VALUE"""),"571 ИCТEК КAЛЕНДАРНЫЙ CPOК КAПИТAЛЬНОГО PEМOНТA")</f>
        <v>571 ИCТEК КAЛЕНДАРНЫЙ CPOК КAПИТAЛЬНОГО PEМOНТA</v>
      </c>
      <c r="AF18" t="str">
        <f ca="1">IFERROR(__xludf.DUMMYFUNCTION("""COMPUTED_VALUE"""),"48 ДОН")</f>
        <v>48 ДОН</v>
      </c>
      <c r="AG18" t="str">
        <f ca="1">IFERROR(__xludf.DUMMYFUNCTION("""COMPUTED_VALUE"""),"48200 ПОКРОВСК")</f>
        <v>48200 ПОКРОВСК</v>
      </c>
      <c r="AH18" t="str">
        <f ca="1">IFERROR(__xludf.DUMMYFUNCTION("""COMPUTED_VALUE"""),"30.04.21 11-00")</f>
        <v>30.04.21 11-00</v>
      </c>
      <c r="AI18" s="21">
        <f ca="1">IFERROR(__xludf.DUMMYFUNCTION("""COMPUTED_VALUE"""),44420.3576504629)</f>
        <v>44420.357650462902</v>
      </c>
    </row>
    <row r="19" spans="1:35" ht="15.75" customHeight="1" x14ac:dyDescent="0.15">
      <c r="A19">
        <f ca="1">IFERROR(__xludf.DUMMYFUNCTION("""COMPUTED_VALUE"""),61)</f>
        <v>61</v>
      </c>
      <c r="B19" t="str">
        <f ca="1">IFERROR(__xludf.DUMMYFUNCTION("""COMPUTED_VALUE"""),"Техрейс")</f>
        <v>Техрейс</v>
      </c>
      <c r="C19" t="str">
        <f ca="1">IFERROR(__xludf.DUMMYFUNCTION("""COMPUTED_VALUE"""),"СВ ТРАНС ГРУПП")</f>
        <v>СВ ТРАНС ГРУПП</v>
      </c>
      <c r="D19">
        <f ca="1">IFERROR(__xludf.DUMMYFUNCTION("""COMPUTED_VALUE"""),52377447)</f>
        <v>52377447</v>
      </c>
      <c r="E19" t="str">
        <f ca="1">IFERROR(__xludf.DUMMYFUNCTION("""COMPUTED_VALUE"""),"60 ПОЛУВАГОНЫ")</f>
        <v>60 ПОЛУВАГОНЫ</v>
      </c>
      <c r="F19">
        <f ca="1">IFERROR(__xludf.DUMMYFUNCTION("""COMPUTED_VALUE"""),14109)</f>
        <v>14109</v>
      </c>
      <c r="G19" t="str">
        <f ca="1">IFERROR(__xludf.DUMMYFUNCTION("""COMPUTED_VALUE"""),"ГЕМАТИТ")</f>
        <v>ГЕМАТИТ</v>
      </c>
      <c r="H19">
        <f ca="1">IFERROR(__xludf.DUMMYFUNCTION("""COMPUTED_VALUE"""),71)</f>
        <v>71</v>
      </c>
      <c r="I19">
        <f ca="1">IFERROR(__xludf.DUMMYFUNCTION("""COMPUTED_VALUE"""),5786)</f>
        <v>5786</v>
      </c>
      <c r="J19" t="str">
        <f ca="1">IFERROR(__xludf.DUMMYFUNCTION("""COMPUTED_VALUE"""),"2001 (40050-082-46720) БЕРЕГОВАЯ - КРИВОЙ РОГ")</f>
        <v>2001 (40050-082-46720) БЕРЕГОВАЯ - КРИВОЙ РОГ</v>
      </c>
      <c r="K19">
        <f ca="1">IFERROR(__xludf.DUMMYFUNCTION("""COMPUTED_VALUE"""),40050)</f>
        <v>40050</v>
      </c>
      <c r="L19" t="str">
        <f ca="1">IFERROR(__xludf.DUMMYFUNCTION("""COMPUTED_VALUE"""),"БЕРЕГОВАЯ")</f>
        <v>БЕРЕГОВАЯ</v>
      </c>
      <c r="M19" t="str">
        <f ca="1">IFERROR(__xludf.DUMMYFUNCTION("""COMPUTED_VALUE"""),"12.08.21 02-50")</f>
        <v>12.08.21 02-50</v>
      </c>
      <c r="N19" t="str">
        <f ca="1">IFERROR(__xludf.DUMMYFUNCTION("""COMPUTED_VALUE"""),"21 ВЫГ2")</f>
        <v>21 ВЫГ2</v>
      </c>
      <c r="O19">
        <f ca="1">IFERROR(__xludf.DUMMYFUNCTION("""COMPUTED_VALUE"""),40060)</f>
        <v>40060</v>
      </c>
      <c r="P19" t="str">
        <f ca="1">IFERROR(__xludf.DUMMYFUNCTION("""COMPUTED_VALUE"""),"БЕРЕГОВАЯ-Э")</f>
        <v>БЕРЕГОВАЯ-Э</v>
      </c>
      <c r="Q19">
        <f ca="1">IFERROR(__xludf.DUMMYFUNCTION("""COMPUTED_VALUE"""),46720)</f>
        <v>46720</v>
      </c>
      <c r="R19" t="str">
        <f ca="1">IFERROR(__xludf.DUMMYFUNCTION("""COMPUTED_VALUE"""),"КРИВОЙ РОГ")</f>
        <v>КРИВОЙ РОГ</v>
      </c>
      <c r="S19" t="str">
        <f ca="1">IFERROR(__xludf.DUMMYFUNCTION("""COMPUTED_VALUE"""),"07.08.21 15-30")</f>
        <v>07.08.21 15-30</v>
      </c>
      <c r="U19" t="str">
        <f ca="1">IFERROR(__xludf.DUMMYFUNCTION("""COMPUTED_VALUE"""),"12.03.2024 ДР")</f>
        <v>12.03.2024 ДР</v>
      </c>
      <c r="Z19" t="str">
        <f ca="1">IFERROR(__xludf.DUMMYFUNCTION("""COMPUTED_VALUE"""),"ООО «СВ ТРАНС ГРУПП»")</f>
        <v>ООО «СВ ТРАНС ГРУПП»</v>
      </c>
      <c r="AA19" t="str">
        <f ca="1">IFERROR(__xludf.DUMMYFUNCTION("""COMPUTED_VALUE"""),"12-141")</f>
        <v>12-141</v>
      </c>
      <c r="AB19" t="str">
        <f ca="1">IFERROR(__xludf.DUMMYFUNCTION("""COMPUTED_VALUE"""),"48 ДОН")</f>
        <v>48 ДОН</v>
      </c>
      <c r="AC19" t="str">
        <f ca="1">IFERROR(__xludf.DUMMYFUNCTION("""COMPUTED_VALUE"""),"48200 ПОКРОВСК")</f>
        <v>48200 ПОКРОВСК</v>
      </c>
      <c r="AD19" t="str">
        <f ca="1">IFERROR(__xludf.DUMMYFUNCTION("""COMPUTED_VALUE"""),"11.03.21 17-30")</f>
        <v>11.03.21 17-30</v>
      </c>
      <c r="AE19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19" t="str">
        <f ca="1">IFERROR(__xludf.DUMMYFUNCTION("""COMPUTED_VALUE"""),"48 ДОН")</f>
        <v>48 ДОН</v>
      </c>
      <c r="AG19" t="str">
        <f ca="1">IFERROR(__xludf.DUMMYFUNCTION("""COMPUTED_VALUE"""),"48200 ПОКРОВСК")</f>
        <v>48200 ПОКРОВСК</v>
      </c>
      <c r="AH19" t="str">
        <f ca="1">IFERROR(__xludf.DUMMYFUNCTION("""COMPUTED_VALUE"""),"12.03.21 15-00")</f>
        <v>12.03.21 15-00</v>
      </c>
      <c r="AI19" s="21">
        <f ca="1">IFERROR(__xludf.DUMMYFUNCTION("""COMPUTED_VALUE"""),44420.3576504629)</f>
        <v>44420.357650462902</v>
      </c>
    </row>
    <row r="20" spans="1:35" ht="15.75" customHeight="1" x14ac:dyDescent="0.15">
      <c r="A20">
        <f ca="1">IFERROR(__xludf.DUMMYFUNCTION("""COMPUTED_VALUE"""),63)</f>
        <v>63</v>
      </c>
      <c r="B20" t="str">
        <f ca="1">IFERROR(__xludf.DUMMYFUNCTION("""COMPUTED_VALUE"""),"Лидер")</f>
        <v>Лидер</v>
      </c>
      <c r="C20" t="str">
        <f ca="1">IFERROR(__xludf.DUMMYFUNCTION("""COMPUTED_VALUE"""),"СВ ТРАНС ГРУПП")</f>
        <v>СВ ТРАНС ГРУПП</v>
      </c>
      <c r="D20">
        <f ca="1">IFERROR(__xludf.DUMMYFUNCTION("""COMPUTED_VALUE"""),55456826)</f>
        <v>55456826</v>
      </c>
      <c r="E20" t="str">
        <f ca="1">IFERROR(__xludf.DUMMYFUNCTION("""COMPUTED_VALUE"""),"60 ПОЛУВАГОНЫ")</f>
        <v>60 ПОЛУВАГОНЫ</v>
      </c>
      <c r="F20">
        <f ca="1">IFERROR(__xludf.DUMMYFUNCTION("""COMPUTED_VALUE"""),23107)</f>
        <v>23107</v>
      </c>
      <c r="G20" t="str">
        <f ca="1">IFERROR(__xludf.DUMMYFUNCTION("""COMPUTED_VALUE"""),"ПЕСОК СТРОИТ")</f>
        <v>ПЕСОК СТРОИТ</v>
      </c>
      <c r="H20">
        <f ca="1">IFERROR(__xludf.DUMMYFUNCTION("""COMPUTED_VALUE"""),69)</f>
        <v>69</v>
      </c>
      <c r="I20">
        <f ca="1">IFERROR(__xludf.DUMMYFUNCTION("""COMPUTED_VALUE"""),6302)</f>
        <v>6302</v>
      </c>
      <c r="J20" t="str">
        <f ca="1">IFERROR(__xludf.DUMMYFUNCTION("""COMPUTED_VALUE"""),"9511 (34710-285-36240) ШАТРИЩЕ - КОЗОВА")</f>
        <v>9511 (34710-285-36240) ШАТРИЩЕ - КОЗОВА</v>
      </c>
      <c r="K20">
        <f ca="1">IFERROR(__xludf.DUMMYFUNCTION("""COMPUTED_VALUE"""),36000)</f>
        <v>36000</v>
      </c>
      <c r="L20" t="str">
        <f ca="1">IFERROR(__xludf.DUMMYFUNCTION("""COMPUTED_VALUE"""),"ТЕРНОПОЛЬ")</f>
        <v>ТЕРНОПОЛЬ</v>
      </c>
      <c r="M20" t="str">
        <f ca="1">IFERROR(__xludf.DUMMYFUNCTION("""COMPUTED_VALUE"""),"12.08.21 05-00")</f>
        <v>12.08.21 05-00</v>
      </c>
      <c r="N20" t="str">
        <f ca="1">IFERROR(__xludf.DUMMYFUNCTION("""COMPUTED_VALUE"""),"84 ДОСЛ")</f>
        <v>84 ДОСЛ</v>
      </c>
      <c r="O20">
        <f ca="1">IFERROR(__xludf.DUMMYFUNCTION("""COMPUTED_VALUE"""),36240)</f>
        <v>36240</v>
      </c>
      <c r="P20" t="str">
        <f ca="1">IFERROR(__xludf.DUMMYFUNCTION("""COMPUTED_VALUE"""),"КОЗОВА")</f>
        <v>КОЗОВА</v>
      </c>
      <c r="Q20">
        <f ca="1">IFERROR(__xludf.DUMMYFUNCTION("""COMPUTED_VALUE"""),34750)</f>
        <v>34750</v>
      </c>
      <c r="R20" t="str">
        <f ca="1">IFERROR(__xludf.DUMMYFUNCTION("""COMPUTED_VALUE"""),"ПЕНИЗЕВИЧИ")</f>
        <v>ПЕНИЗЕВИЧИ</v>
      </c>
      <c r="S20" t="str">
        <f ca="1">IFERROR(__xludf.DUMMYFUNCTION("""COMPUTED_VALUE"""),"09.08.21 10-10")</f>
        <v>09.08.21 10-10</v>
      </c>
      <c r="T20">
        <f ca="1">IFERROR(__xludf.DUMMYFUNCTION("""COMPUTED_VALUE"""),3437)</f>
        <v>3437</v>
      </c>
      <c r="U20" t="str">
        <f ca="1">IFERROR(__xludf.DUMMYFUNCTION("""COMPUTED_VALUE"""),"30.11.2023 ДР")</f>
        <v>30.11.2023 ДР</v>
      </c>
      <c r="Z20" t="str">
        <f ca="1">IFERROR(__xludf.DUMMYFUNCTION("""COMPUTED_VALUE"""),"ООО «СВ ТРАНС ГРУПП»")</f>
        <v>ООО «СВ ТРАНС ГРУПП»</v>
      </c>
      <c r="AA20" t="str">
        <f ca="1">IFERROR(__xludf.DUMMYFUNCTION("""COMPUTED_VALUE"""),"12-141")</f>
        <v>12-141</v>
      </c>
      <c r="AB20" t="str">
        <f ca="1">IFERROR(__xludf.DUMMYFUNCTION("""COMPUTED_VALUE"""),"48 ДОН")</f>
        <v>48 ДОН</v>
      </c>
      <c r="AC20" t="str">
        <f ca="1">IFERROR(__xludf.DUMMYFUNCTION("""COMPUTED_VALUE"""),"48200 ПОКРОВСК")</f>
        <v>48200 ПОКРОВСК</v>
      </c>
      <c r="AD20" t="str">
        <f ca="1">IFERROR(__xludf.DUMMYFUNCTION("""COMPUTED_VALUE"""),"24.11.20 11-00")</f>
        <v>24.11.20 11-00</v>
      </c>
      <c r="AE20" t="str">
        <f ca="1">IFERROR(__xludf.DUMMYFUNCTION("""COMPUTED_VALUE"""),"571 ИCТEК КAЛЕНДАРНЫЙ CPOК КAПИТAЛЬНОГО PEМOНТA")</f>
        <v>571 ИCТEК КAЛЕНДАРНЫЙ CPOК КAПИТAЛЬНОГО PEМOНТA</v>
      </c>
      <c r="AF20" t="str">
        <f ca="1">IFERROR(__xludf.DUMMYFUNCTION("""COMPUTED_VALUE"""),"48 ДОН")</f>
        <v>48 ДОН</v>
      </c>
      <c r="AG20" t="str">
        <f ca="1">IFERROR(__xludf.DUMMYFUNCTION("""COMPUTED_VALUE"""),"48200 ПОКРОВСК")</f>
        <v>48200 ПОКРОВСК</v>
      </c>
      <c r="AH20" t="str">
        <f ca="1">IFERROR(__xludf.DUMMYFUNCTION("""COMPUTED_VALUE"""),"30.11.20 10-00")</f>
        <v>30.11.20 10-00</v>
      </c>
      <c r="AI20" s="21">
        <f ca="1">IFERROR(__xludf.DUMMYFUNCTION("""COMPUTED_VALUE"""),44420.3576504629)</f>
        <v>44420.357650462902</v>
      </c>
    </row>
    <row r="21" spans="1:35" ht="15.75" customHeight="1" x14ac:dyDescent="0.15">
      <c r="A21">
        <f ca="1">IFERROR(__xludf.DUMMYFUNCTION("""COMPUTED_VALUE"""),64)</f>
        <v>64</v>
      </c>
      <c r="B21" t="str">
        <f ca="1">IFERROR(__xludf.DUMMYFUNCTION("""COMPUTED_VALUE"""),"Техрейс")</f>
        <v>Техрейс</v>
      </c>
      <c r="C21" t="str">
        <f ca="1">IFERROR(__xludf.DUMMYFUNCTION("""COMPUTED_VALUE"""),"Керрилайн")</f>
        <v>Керрилайн</v>
      </c>
      <c r="D21">
        <f ca="1">IFERROR(__xludf.DUMMYFUNCTION("""COMPUTED_VALUE"""),52379914)</f>
        <v>52379914</v>
      </c>
      <c r="E21" t="str">
        <f ca="1">IFERROR(__xludf.DUMMYFUNCTION("""COMPUTED_VALUE"""),"60 ПОЛУВАГОНЫ")</f>
        <v>60 ПОЛУВАГОНЫ</v>
      </c>
      <c r="F21">
        <f ca="1">IFERROR(__xludf.DUMMYFUNCTION("""COMPUTED_VALUE"""),14109)</f>
        <v>14109</v>
      </c>
      <c r="G21" t="str">
        <f ca="1">IFERROR(__xludf.DUMMYFUNCTION("""COMPUTED_VALUE"""),"ГЕМАТИТ")</f>
        <v>ГЕМАТИТ</v>
      </c>
      <c r="H21">
        <f ca="1">IFERROR(__xludf.DUMMYFUNCTION("""COMPUTED_VALUE"""),71)</f>
        <v>71</v>
      </c>
      <c r="I21">
        <f ca="1">IFERROR(__xludf.DUMMYFUNCTION("""COMPUTED_VALUE"""),5786)</f>
        <v>5786</v>
      </c>
      <c r="J21" t="str">
        <f ca="1">IFERROR(__xludf.DUMMYFUNCTION("""COMPUTED_VALUE"""),"1603 (46720-440-40050) КРИВОЙ РОГ - БЕРЕГОВАЯ")</f>
        <v>1603 (46720-440-40050) КРИВОЙ РОГ - БЕРЕГОВАЯ</v>
      </c>
      <c r="K21">
        <f ca="1">IFERROR(__xludf.DUMMYFUNCTION("""COMPUTED_VALUE"""),40050)</f>
        <v>40050</v>
      </c>
      <c r="L21" t="str">
        <f ca="1">IFERROR(__xludf.DUMMYFUNCTION("""COMPUTED_VALUE"""),"БЕРЕГОВАЯ")</f>
        <v>БЕРЕГОВАЯ</v>
      </c>
      <c r="M21" t="str">
        <f ca="1">IFERROR(__xludf.DUMMYFUNCTION("""COMPUTED_VALUE"""),"12.08.21 05-41")</f>
        <v>12.08.21 05-41</v>
      </c>
      <c r="N21" t="str">
        <f ca="1">IFERROR(__xludf.DUMMYFUNCTION("""COMPUTED_VALUE"""),"04 РАСФ")</f>
        <v>04 РАСФ</v>
      </c>
      <c r="O21">
        <f ca="1">IFERROR(__xludf.DUMMYFUNCTION("""COMPUTED_VALUE"""),40060)</f>
        <v>40060</v>
      </c>
      <c r="P21" t="str">
        <f ca="1">IFERROR(__xludf.DUMMYFUNCTION("""COMPUTED_VALUE"""),"БЕРЕГОВАЯ-Э")</f>
        <v>БЕРЕГОВАЯ-Э</v>
      </c>
      <c r="Q21">
        <f ca="1">IFERROR(__xludf.DUMMYFUNCTION("""COMPUTED_VALUE"""),46720)</f>
        <v>46720</v>
      </c>
      <c r="R21" t="str">
        <f ca="1">IFERROR(__xludf.DUMMYFUNCTION("""COMPUTED_VALUE"""),"КРИВОЙ РОГ")</f>
        <v>КРИВОЙ РОГ</v>
      </c>
      <c r="S21" t="str">
        <f ca="1">IFERROR(__xludf.DUMMYFUNCTION("""COMPUTED_VALUE"""),"10.08.21 17-10")</f>
        <v>10.08.21 17-10</v>
      </c>
      <c r="T21">
        <f ca="1">IFERROR(__xludf.DUMMYFUNCTION("""COMPUTED_VALUE"""),5343)</f>
        <v>5343</v>
      </c>
      <c r="U21" t="str">
        <f ca="1">IFERROR(__xludf.DUMMYFUNCTION("""COMPUTED_VALUE"""),"30.12.2023 ДР")</f>
        <v>30.12.2023 ДР</v>
      </c>
      <c r="Z21" t="str">
        <f ca="1">IFERROR(__xludf.DUMMYFUNCTION("""COMPUTED_VALUE"""),"ООО «НВ ТРАНС ГРУПП»")</f>
        <v>ООО «НВ ТРАНС ГРУПП»</v>
      </c>
      <c r="AA21" t="str">
        <f ca="1">IFERROR(__xludf.DUMMYFUNCTION("""COMPUTED_VALUE"""),"12-141")</f>
        <v>12-141</v>
      </c>
      <c r="AB21" t="str">
        <f ca="1">IFERROR(__xludf.DUMMYFUNCTION("""COMPUTED_VALUE"""),"40 ОД")</f>
        <v>40 ОД</v>
      </c>
      <c r="AC21" t="str">
        <f ca="1">IFERROR(__xludf.DUMMYFUNCTION("""COMPUTED_VALUE"""),"41190 ПОМОШНАЯ")</f>
        <v>41190 ПОМОШНАЯ</v>
      </c>
      <c r="AD21" t="str">
        <f ca="1">IFERROR(__xludf.DUMMYFUNCTION("""COMPUTED_VALUE"""),"21.05.21 13-10")</f>
        <v>21.05.21 13-10</v>
      </c>
      <c r="AE21" t="str">
        <f ca="1">IFERROR(__xludf.DUMMYFUNCTION("""COMPUTED_VALUE"""),"531 ПOВPEЖДEНИE OБШИВКИ КУЗOВA")</f>
        <v>531 ПOВPEЖДEНИE OБШИВКИ КУЗOВA</v>
      </c>
      <c r="AF21" t="str">
        <f ca="1">IFERROR(__xludf.DUMMYFUNCTION("""COMPUTED_VALUE"""),"40 ОД")</f>
        <v>40 ОД</v>
      </c>
      <c r="AG21" t="str">
        <f ca="1">IFERROR(__xludf.DUMMYFUNCTION("""COMPUTED_VALUE"""),"41190 ПОМОШНАЯ")</f>
        <v>41190 ПОМОШНАЯ</v>
      </c>
      <c r="AH21" t="str">
        <f ca="1">IFERROR(__xludf.DUMMYFUNCTION("""COMPUTED_VALUE"""),"22.05.21 15-05")</f>
        <v>22.05.21 15-05</v>
      </c>
      <c r="AI21" s="21">
        <f ca="1">IFERROR(__xludf.DUMMYFUNCTION("""COMPUTED_VALUE"""),44420.3576504629)</f>
        <v>44420.357650462902</v>
      </c>
    </row>
    <row r="22" spans="1:35" ht="15.75" customHeight="1" x14ac:dyDescent="0.15">
      <c r="A22">
        <f ca="1">IFERROR(__xludf.DUMMYFUNCTION("""COMPUTED_VALUE"""),65)</f>
        <v>65</v>
      </c>
      <c r="B22" t="str">
        <f ca="1">IFERROR(__xludf.DUMMYFUNCTION("""COMPUTED_VALUE"""),"Техрейс")</f>
        <v>Техрейс</v>
      </c>
      <c r="C22" t="str">
        <f ca="1">IFERROR(__xludf.DUMMYFUNCTION("""COMPUTED_VALUE"""),"СВ ТРАНС ГРУПП")</f>
        <v>СВ ТРАНС ГРУПП</v>
      </c>
      <c r="D22">
        <f ca="1">IFERROR(__xludf.DUMMYFUNCTION("""COMPUTED_VALUE"""),55210280)</f>
        <v>55210280</v>
      </c>
      <c r="E22" t="str">
        <f ca="1">IFERROR(__xludf.DUMMYFUNCTION("""COMPUTED_VALUE"""),"60 ПОЛУВАГОНЫ")</f>
        <v>60 ПОЛУВАГОНЫ</v>
      </c>
      <c r="F22">
        <f ca="1">IFERROR(__xludf.DUMMYFUNCTION("""COMPUTED_VALUE"""),43619)</f>
        <v>43619</v>
      </c>
      <c r="G22" t="str">
        <f ca="1">IFERROR(__xludf.DUMMYFUNCTION("""COMPUTED_VALUE"""),"УДОБР ХИМ ПР")</f>
        <v>УДОБР ХИМ ПР</v>
      </c>
      <c r="H22">
        <f ca="1">IFERROR(__xludf.DUMMYFUNCTION("""COMPUTED_VALUE"""),68)</f>
        <v>68</v>
      </c>
      <c r="I22">
        <f ca="1">IFERROR(__xludf.DUMMYFUNCTION("""COMPUTED_VALUE"""),2154)</f>
        <v>2154</v>
      </c>
      <c r="J22" t="str">
        <f ca="1">IFERROR(__xludf.DUMMYFUNCTION("""COMPUTED_VALUE"""),"3823 (40200-082-40510) ЧЕРНОМОРСК-П - ОДЕССА-ЗАС I")</f>
        <v>3823 (40200-082-40510) ЧЕРНОМОРСК-П - ОДЕССА-ЗАС I</v>
      </c>
      <c r="K22">
        <f ca="1">IFERROR(__xludf.DUMMYFUNCTION("""COMPUTED_VALUE"""),40020)</f>
        <v>40020</v>
      </c>
      <c r="L22" t="str">
        <f ca="1">IFERROR(__xludf.DUMMYFUNCTION("""COMPUTED_VALUE"""),"ОДЕС-ТОВАРН")</f>
        <v>ОДЕС-ТОВАРН</v>
      </c>
      <c r="M22" t="str">
        <f ca="1">IFERROR(__xludf.DUMMYFUNCTION("""COMPUTED_VALUE"""),"11.08.21 08-58")</f>
        <v>11.08.21 08-58</v>
      </c>
      <c r="N22" t="str">
        <f ca="1">IFERROR(__xludf.DUMMYFUNCTION("""COMPUTED_VALUE"""),"01 ПРИБ")</f>
        <v>01 ПРИБ</v>
      </c>
      <c r="O22">
        <f ca="1">IFERROR(__xludf.DUMMYFUNCTION("""COMPUTED_VALUE"""),41130)</f>
        <v>41130</v>
      </c>
      <c r="P22" t="str">
        <f ca="1">IFERROR(__xludf.DUMMYFUNCTION("""COMPUTED_VALUE"""),"КАНАТОВО")</f>
        <v>КАНАТОВО</v>
      </c>
      <c r="Q22">
        <f ca="1">IFERROR(__xludf.DUMMYFUNCTION("""COMPUTED_VALUE"""),40210)</f>
        <v>40210</v>
      </c>
      <c r="R22" t="str">
        <f ca="1">IFERROR(__xludf.DUMMYFUNCTION("""COMPUTED_VALUE"""),"ЧЕРНО-ПОРТ-Э")</f>
        <v>ЧЕРНО-ПОРТ-Э</v>
      </c>
      <c r="S22" t="str">
        <f ca="1">IFERROR(__xludf.DUMMYFUNCTION("""COMPUTED_VALUE"""),"06.08.21 22-23")</f>
        <v>06.08.21 22-23</v>
      </c>
      <c r="T22">
        <f ca="1">IFERROR(__xludf.DUMMYFUNCTION("""COMPUTED_VALUE"""),4307)</f>
        <v>4307</v>
      </c>
      <c r="U22" t="str">
        <f ca="1">IFERROR(__xludf.DUMMYFUNCTION("""COMPUTED_VALUE"""),"26.09.2023 ДР")</f>
        <v>26.09.2023 ДР</v>
      </c>
      <c r="Z22" t="str">
        <f ca="1">IFERROR(__xludf.DUMMYFUNCTION("""COMPUTED_VALUE"""),"ООО «СВ ТРАНС ГРУПП»")</f>
        <v>ООО «СВ ТРАНС ГРУПП»</v>
      </c>
      <c r="AA22" t="str">
        <f ca="1">IFERROR(__xludf.DUMMYFUNCTION("""COMPUTED_VALUE"""),"12-132")</f>
        <v>12-132</v>
      </c>
      <c r="AB22" t="str">
        <f ca="1">IFERROR(__xludf.DUMMYFUNCTION("""COMPUTED_VALUE"""),"48 ДОН")</f>
        <v>48 ДОН</v>
      </c>
      <c r="AC22" t="str">
        <f ca="1">IFERROR(__xludf.DUMMYFUNCTION("""COMPUTED_VALUE"""),"49480 СОЛЬ")</f>
        <v>49480 СОЛЬ</v>
      </c>
      <c r="AD22" t="str">
        <f ca="1">IFERROR(__xludf.DUMMYFUNCTION("""COMPUTED_VALUE"""),"09.02.21 10-00")</f>
        <v>09.02.21 10-00</v>
      </c>
      <c r="AE22" t="str">
        <f ca="1">IFERROR(__xludf.DUMMYFUNCTION("""COMPUTED_VALUE"""),"540 НEИCПPAВНOCТЬ ЗAПOPA ЛЮКA")</f>
        <v>540 НEИCПPAВНOCТЬ ЗAПOPA ЛЮКA</v>
      </c>
      <c r="AF22" t="str">
        <f ca="1">IFERROR(__xludf.DUMMYFUNCTION("""COMPUTED_VALUE"""),"48 ДОН")</f>
        <v>48 ДОН</v>
      </c>
      <c r="AG22" t="str">
        <f ca="1">IFERROR(__xludf.DUMMYFUNCTION("""COMPUTED_VALUE"""),"49480 СОЛЬ")</f>
        <v>49480 СОЛЬ</v>
      </c>
      <c r="AH22" t="str">
        <f ca="1">IFERROR(__xludf.DUMMYFUNCTION("""COMPUTED_VALUE"""),"14.02.21 16-00")</f>
        <v>14.02.21 16-00</v>
      </c>
      <c r="AI22" s="21">
        <f ca="1">IFERROR(__xludf.DUMMYFUNCTION("""COMPUTED_VALUE"""),44420.3576504629)</f>
        <v>44420.357650462902</v>
      </c>
    </row>
    <row r="23" spans="1:35" ht="15.75" customHeight="1" x14ac:dyDescent="0.15">
      <c r="A23">
        <f ca="1">IFERROR(__xludf.DUMMYFUNCTION("""COMPUTED_VALUE"""),66)</f>
        <v>66</v>
      </c>
      <c r="B23" t="str">
        <f ca="1">IFERROR(__xludf.DUMMYFUNCTION("""COMPUTED_VALUE"""),"Техрейс")</f>
        <v>Техрейс</v>
      </c>
      <c r="C23" t="str">
        <f ca="1">IFERROR(__xludf.DUMMYFUNCTION("""COMPUTED_VALUE"""),"Транспостач Логістик")</f>
        <v>Транспостач Логістик</v>
      </c>
      <c r="D23">
        <f ca="1">IFERROR(__xludf.DUMMYFUNCTION("""COMPUTED_VALUE"""),53007217)</f>
        <v>53007217</v>
      </c>
      <c r="E23" t="str">
        <f ca="1">IFERROR(__xludf.DUMMYFUNCTION("""COMPUTED_VALUE"""),"60 ПОЛУВАГОНЫ")</f>
        <v>60 ПОЛУВАГОНЫ</v>
      </c>
      <c r="F23">
        <f ca="1">IFERROR(__xludf.DUMMYFUNCTION("""COMPUTED_VALUE"""),16120)</f>
        <v>16120</v>
      </c>
      <c r="G23" t="str">
        <f ca="1">IFERROR(__xludf.DUMMYFUNCTION("""COMPUTED_VALUE"""),"УГОЛЬ КАМЕН ПР")</f>
        <v>УГОЛЬ КАМЕН ПР</v>
      </c>
      <c r="H23">
        <f ca="1">IFERROR(__xludf.DUMMYFUNCTION("""COMPUTED_VALUE"""),67)</f>
        <v>67</v>
      </c>
      <c r="I23">
        <f ca="1">IFERROR(__xludf.DUMMYFUNCTION("""COMPUTED_VALUE"""),7521)</f>
        <v>7521</v>
      </c>
      <c r="J23" t="str">
        <f ca="1">IFERROR(__xludf.DUMMYFUNCTION("""COMPUTED_VALUE"""),"2109 (48200-430-45000) ПОКРОВСК - НИЖНЕДН-УЗЕЛ")</f>
        <v>2109 (48200-430-45000) ПОКРОВСК - НИЖНЕДН-УЗЕЛ</v>
      </c>
      <c r="K23">
        <f ca="1">IFERROR(__xludf.DUMMYFUNCTION("""COMPUTED_VALUE"""),45000)</f>
        <v>45000</v>
      </c>
      <c r="L23" t="str">
        <f ca="1">IFERROR(__xludf.DUMMYFUNCTION("""COMPUTED_VALUE"""),"НИЖНЕДН-УЗЕЛ")</f>
        <v>НИЖНЕДН-УЗЕЛ</v>
      </c>
      <c r="M23" t="str">
        <f ca="1">IFERROR(__xludf.DUMMYFUNCTION("""COMPUTED_VALUE"""),"12.08.21 07-30")</f>
        <v>12.08.21 07-30</v>
      </c>
      <c r="N23" t="str">
        <f ca="1">IFERROR(__xludf.DUMMYFUNCTION("""COMPUTED_VALUE"""),"51 ПРИБ")</f>
        <v>51 ПРИБ</v>
      </c>
      <c r="O23">
        <f ca="1">IFERROR(__xludf.DUMMYFUNCTION("""COMPUTED_VALUE"""),42230)</f>
        <v>42230</v>
      </c>
      <c r="P23" t="str">
        <f ca="1">IFERROR(__xludf.DUMMYFUNCTION("""COMPUTED_VALUE"""),"КОРСУНЬ")</f>
        <v>КОРСУНЬ</v>
      </c>
      <c r="Q23">
        <f ca="1">IFERROR(__xludf.DUMMYFUNCTION("""COMPUTED_VALUE"""),48220)</f>
        <v>48220</v>
      </c>
      <c r="R23" t="str">
        <f ca="1">IFERROR(__xludf.DUMMYFUNCTION("""COMPUTED_VALUE"""),"НОВОГРОДОВКА")</f>
        <v>НОВОГРОДОВКА</v>
      </c>
      <c r="S23" t="str">
        <f ca="1">IFERROR(__xludf.DUMMYFUNCTION("""COMPUTED_VALUE"""),"10.08.21 18-10")</f>
        <v>10.08.21 18-10</v>
      </c>
      <c r="T23">
        <f ca="1">IFERROR(__xludf.DUMMYFUNCTION("""COMPUTED_VALUE"""),5575)</f>
        <v>5575</v>
      </c>
      <c r="U23" t="str">
        <f ca="1">IFERROR(__xludf.DUMMYFUNCTION("""COMPUTED_VALUE"""),"07.11.2023 ДР")</f>
        <v>07.11.2023 ДР</v>
      </c>
      <c r="Z23" t="str">
        <f ca="1">IFERROR(__xludf.DUMMYFUNCTION("""COMPUTED_VALUE"""),"ООО «ТРАНС ПОСТАЧ ЛОГИСТИК»")</f>
        <v>ООО «ТРАНС ПОСТАЧ ЛОГИСТИК»</v>
      </c>
      <c r="AA23" t="str">
        <f ca="1">IFERROR(__xludf.DUMMYFUNCTION("""COMPUTED_VALUE"""),"12-141")</f>
        <v>12-141</v>
      </c>
      <c r="AB23" t="str">
        <f ca="1">IFERROR(__xludf.DUMMYFUNCTION("""COMPUTED_VALUE"""),"45 ПРИДН")</f>
        <v>45 ПРИДН</v>
      </c>
      <c r="AC23" t="str">
        <f ca="1">IFERROR(__xludf.DUMMYFUNCTION("""COMPUTED_VALUE"""),"47600 МЕЛИТОПОЛЬ")</f>
        <v>47600 МЕЛИТОПОЛЬ</v>
      </c>
      <c r="AD23" t="str">
        <f ca="1">IFERROR(__xludf.DUMMYFUNCTION("""COMPUTED_VALUE"""),"15.09.20 17-05")</f>
        <v>15.09.20 17-05</v>
      </c>
      <c r="AE23" t="str">
        <f ca="1">IFERROR(__xludf.DUMMYFUNCTION("""COMPUTED_VALUE"""),"571 ИCТEК КAЛЕНДАРНЫЙ CPOК КAПИТAЛЬНОГО PEМOНТA")</f>
        <v>571 ИCТEК КAЛЕНДАРНЫЙ CPOК КAПИТAЛЬНОГО PEМOНТA</v>
      </c>
      <c r="AF23" t="str">
        <f ca="1">IFERROR(__xludf.DUMMYFUNCTION("""COMPUTED_VALUE"""),"45 ПРИДН")</f>
        <v>45 ПРИДН</v>
      </c>
      <c r="AG23" t="str">
        <f ca="1">IFERROR(__xludf.DUMMYFUNCTION("""COMPUTED_VALUE"""),"47600 МЕЛИТОПОЛЬ")</f>
        <v>47600 МЕЛИТОПОЛЬ</v>
      </c>
      <c r="AH23" t="str">
        <f ca="1">IFERROR(__xludf.DUMMYFUNCTION("""COMPUTED_VALUE"""),"07.11.20 13-40")</f>
        <v>07.11.20 13-40</v>
      </c>
      <c r="AI23" s="21">
        <f ca="1">IFERROR(__xludf.DUMMYFUNCTION("""COMPUTED_VALUE"""),44420.3576504629)</f>
        <v>44420.357650462902</v>
      </c>
    </row>
    <row r="24" spans="1:35" ht="15.75" customHeight="1" x14ac:dyDescent="0.15">
      <c r="A24">
        <f ca="1">IFERROR(__xludf.DUMMYFUNCTION("""COMPUTED_VALUE"""),67)</f>
        <v>67</v>
      </c>
      <c r="B24" t="str">
        <f ca="1">IFERROR(__xludf.DUMMYFUNCTION("""COMPUTED_VALUE"""),"Техрейс")</f>
        <v>Техрейс</v>
      </c>
      <c r="C24" t="str">
        <f ca="1">IFERROR(__xludf.DUMMYFUNCTION("""COMPUTED_VALUE"""),"СВ ТРАНС ГРУПП")</f>
        <v>СВ ТРАНС ГРУПП</v>
      </c>
      <c r="D24">
        <f ca="1">IFERROR(__xludf.DUMMYFUNCTION("""COMPUTED_VALUE"""),55268320)</f>
        <v>55268320</v>
      </c>
      <c r="E24" t="str">
        <f ca="1">IFERROR(__xludf.DUMMYFUNCTION("""COMPUTED_VALUE"""),"60 ПОЛУВАГОНЫ")</f>
        <v>60 ПОЛУВАГОНЫ</v>
      </c>
      <c r="F24">
        <f ca="1">IFERROR(__xludf.DUMMYFUNCTION("""COMPUTED_VALUE"""),14109)</f>
        <v>14109</v>
      </c>
      <c r="G24" t="str">
        <f ca="1">IFERROR(__xludf.DUMMYFUNCTION("""COMPUTED_VALUE"""),"ГЕМАТИТ")</f>
        <v>ГЕМАТИТ</v>
      </c>
      <c r="H24">
        <f ca="1">IFERROR(__xludf.DUMMYFUNCTION("""COMPUTED_VALUE"""),70)</f>
        <v>70</v>
      </c>
      <c r="I24">
        <f ca="1">IFERROR(__xludf.DUMMYFUNCTION("""COMPUTED_VALUE"""),5786)</f>
        <v>5786</v>
      </c>
      <c r="J24" t="str">
        <f ca="1">IFERROR(__xludf.DUMMYFUNCTION("""COMPUTED_VALUE"""),"1609 (46720-447-40050) КРИВОЙ РОГ - БЕРЕГОВАЯ")</f>
        <v>1609 (46720-447-40050) КРИВОЙ РОГ - БЕРЕГОВАЯ</v>
      </c>
      <c r="K24">
        <f ca="1">IFERROR(__xludf.DUMMYFUNCTION("""COMPUTED_VALUE"""),40050)</f>
        <v>40050</v>
      </c>
      <c r="L24" t="str">
        <f ca="1">IFERROR(__xludf.DUMMYFUNCTION("""COMPUTED_VALUE"""),"БЕРЕГОВАЯ")</f>
        <v>БЕРЕГОВАЯ</v>
      </c>
      <c r="M24" t="str">
        <f ca="1">IFERROR(__xludf.DUMMYFUNCTION("""COMPUTED_VALUE"""),"12.08.21 07-31")</f>
        <v>12.08.21 07-31</v>
      </c>
      <c r="N24" t="str">
        <f ca="1">IFERROR(__xludf.DUMMYFUNCTION("""COMPUTED_VALUE"""),"04 РАСФ")</f>
        <v>04 РАСФ</v>
      </c>
      <c r="O24">
        <f ca="1">IFERROR(__xludf.DUMMYFUNCTION("""COMPUTED_VALUE"""),40060)</f>
        <v>40060</v>
      </c>
      <c r="P24" t="str">
        <f ca="1">IFERROR(__xludf.DUMMYFUNCTION("""COMPUTED_VALUE"""),"БЕРЕГОВАЯ-Э")</f>
        <v>БЕРЕГОВАЯ-Э</v>
      </c>
      <c r="Q24">
        <f ca="1">IFERROR(__xludf.DUMMYFUNCTION("""COMPUTED_VALUE"""),46720)</f>
        <v>46720</v>
      </c>
      <c r="R24" t="str">
        <f ca="1">IFERROR(__xludf.DUMMYFUNCTION("""COMPUTED_VALUE"""),"КРИВОЙ РОГ")</f>
        <v>КРИВОЙ РОГ</v>
      </c>
      <c r="S24" t="str">
        <f ca="1">IFERROR(__xludf.DUMMYFUNCTION("""COMPUTED_VALUE"""),"11.08.21 03-10")</f>
        <v>11.08.21 03-10</v>
      </c>
      <c r="T24">
        <f ca="1">IFERROR(__xludf.DUMMYFUNCTION("""COMPUTED_VALUE"""),5343)</f>
        <v>5343</v>
      </c>
      <c r="U24" t="str">
        <f ca="1">IFERROR(__xludf.DUMMYFUNCTION("""COMPUTED_VALUE"""),"28.11.2023 ДР")</f>
        <v>28.11.2023 ДР</v>
      </c>
      <c r="Z24" t="str">
        <f ca="1">IFERROR(__xludf.DUMMYFUNCTION("""COMPUTED_VALUE"""),"ООО «СВ ТРАНС ГРУПП»")</f>
        <v>ООО «СВ ТРАНС ГРУПП»</v>
      </c>
      <c r="AA24" t="str">
        <f ca="1">IFERROR(__xludf.DUMMYFUNCTION("""COMPUTED_VALUE"""),"12-132")</f>
        <v>12-132</v>
      </c>
      <c r="AB24" t="str">
        <f ca="1">IFERROR(__xludf.DUMMYFUNCTION("""COMPUTED_VALUE"""),"45 ПРИДН")</f>
        <v>45 ПРИДН</v>
      </c>
      <c r="AC24" t="str">
        <f ca="1">IFERROR(__xludf.DUMMYFUNCTION("""COMPUTED_VALUE"""),"45580 КАМЕНСКОЕ")</f>
        <v>45580 КАМЕНСКОЕ</v>
      </c>
      <c r="AD24" t="str">
        <f ca="1">IFERROR(__xludf.DUMMYFUNCTION("""COMPUTED_VALUE"""),"11.05.21 18-05")</f>
        <v>11.05.21 18-05</v>
      </c>
      <c r="AE24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4" t="str">
        <f ca="1">IFERROR(__xludf.DUMMYFUNCTION("""COMPUTED_VALUE"""),"45 ПРИДН")</f>
        <v>45 ПРИДН</v>
      </c>
      <c r="AG24" t="str">
        <f ca="1">IFERROR(__xludf.DUMMYFUNCTION("""COMPUTED_VALUE"""),"45580 КАМЕНСКОЕ")</f>
        <v>45580 КАМЕНСКОЕ</v>
      </c>
      <c r="AH24" t="str">
        <f ca="1">IFERROR(__xludf.DUMMYFUNCTION("""COMPUTED_VALUE"""),"20.05.21 13-30")</f>
        <v>20.05.21 13-30</v>
      </c>
      <c r="AI24" s="21">
        <f ca="1">IFERROR(__xludf.DUMMYFUNCTION("""COMPUTED_VALUE"""),44420.3576504629)</f>
        <v>44420.357650462902</v>
      </c>
    </row>
    <row r="25" spans="1:35" ht="15.75" customHeight="1" x14ac:dyDescent="0.15">
      <c r="A25">
        <f ca="1">IFERROR(__xludf.DUMMYFUNCTION("""COMPUTED_VALUE"""),68)</f>
        <v>68</v>
      </c>
      <c r="B25" t="str">
        <f ca="1">IFERROR(__xludf.DUMMYFUNCTION("""COMPUTED_VALUE"""),"Лидер")</f>
        <v>Лидер</v>
      </c>
      <c r="C25" t="str">
        <f ca="1">IFERROR(__xludf.DUMMYFUNCTION("""COMPUTED_VALUE"""),"Керрилайн")</f>
        <v>Керрилайн</v>
      </c>
      <c r="D25">
        <f ca="1">IFERROR(__xludf.DUMMYFUNCTION("""COMPUTED_VALUE"""),53002382)</f>
        <v>53002382</v>
      </c>
      <c r="E25" t="str">
        <f ca="1">IFERROR(__xludf.DUMMYFUNCTION("""COMPUTED_VALUE"""),"60 ПОЛУВАГОНЫ")</f>
        <v>60 ПОЛУВАГОНЫ</v>
      </c>
      <c r="F25">
        <f ca="1">IFERROR(__xludf.DUMMYFUNCTION("""COMPUTED_VALUE"""),42103)</f>
        <v>42103</v>
      </c>
      <c r="G25" t="str">
        <f ca="1">IFERROR(__xludf.DUMMYFUNCTION("""COMPUTED_VALUE"""),"ВАГОНЫ ЖД СВ")</f>
        <v>ВАГОНЫ ЖД СВ</v>
      </c>
      <c r="H25">
        <f ca="1">IFERROR(__xludf.DUMMYFUNCTION("""COMPUTED_VALUE"""),0)</f>
        <v>0</v>
      </c>
      <c r="I25">
        <f ca="1">IFERROR(__xludf.DUMMYFUNCTION("""COMPUTED_VALUE"""),3437)</f>
        <v>3437</v>
      </c>
      <c r="J25" t="str">
        <f ca="1">IFERROR(__xludf.DUMMYFUNCTION("""COMPUTED_VALUE"""),"2434 (43000-226-32000) КУПЯНСК-СОРТ - ДАРНИЦА")</f>
        <v>2434 (43000-226-32000) КУПЯНСК-СОРТ - ДАРНИЦА</v>
      </c>
      <c r="K25">
        <f ca="1">IFERROR(__xludf.DUMMYFUNCTION("""COMPUTED_VALUE"""),44020)</f>
        <v>44020</v>
      </c>
      <c r="L25" t="str">
        <f ca="1">IFERROR(__xludf.DUMMYFUNCTION("""COMPUTED_VALUE"""),"ОСНОВА")</f>
        <v>ОСНОВА</v>
      </c>
      <c r="M25" t="str">
        <f ca="1">IFERROR(__xludf.DUMMYFUNCTION("""COMPUTED_VALUE"""),"12.08.21 07-25")</f>
        <v>12.08.21 07-25</v>
      </c>
      <c r="N25" t="str">
        <f ca="1">IFERROR(__xludf.DUMMYFUNCTION("""COMPUTED_VALUE"""),"51 ПРИБ")</f>
        <v>51 ПРИБ</v>
      </c>
      <c r="O25">
        <f ca="1">IFERROR(__xludf.DUMMYFUNCTION("""COMPUTED_VALUE"""),34750)</f>
        <v>34750</v>
      </c>
      <c r="P25" t="str">
        <f ca="1">IFERROR(__xludf.DUMMYFUNCTION("""COMPUTED_VALUE"""),"ПЕНИЗЕВИЧИ")</f>
        <v>ПЕНИЗЕВИЧИ</v>
      </c>
      <c r="Q25">
        <f ca="1">IFERROR(__xludf.DUMMYFUNCTION("""COMPUTED_VALUE"""),49870)</f>
        <v>49870</v>
      </c>
      <c r="R25" t="str">
        <f ca="1">IFERROR(__xludf.DUMMYFUNCTION("""COMPUTED_VALUE"""),"РУБЕЖНОЕ")</f>
        <v>РУБЕЖНОЕ</v>
      </c>
      <c r="S25" t="str">
        <f ca="1">IFERROR(__xludf.DUMMYFUNCTION("""COMPUTED_VALUE"""),"09.08.21 22-15")</f>
        <v>09.08.21 22-15</v>
      </c>
      <c r="T25">
        <f ca="1">IFERROR(__xludf.DUMMYFUNCTION("""COMPUTED_VALUE"""),2992)</f>
        <v>2992</v>
      </c>
      <c r="U25" t="str">
        <f ca="1">IFERROR(__xludf.DUMMYFUNCTION("""COMPUTED_VALUE"""),"14.01.2024 ДР")</f>
        <v>14.01.2024 ДР</v>
      </c>
      <c r="Z25" t="str">
        <f ca="1">IFERROR(__xludf.DUMMYFUNCTION("""COMPUTED_VALUE"""),"ООО «НВ ТРАНС ГРУПП»")</f>
        <v>ООО «НВ ТРАНС ГРУПП»</v>
      </c>
      <c r="AA25" t="str">
        <f ca="1">IFERROR(__xludf.DUMMYFUNCTION("""COMPUTED_VALUE"""),"12-141")</f>
        <v>12-141</v>
      </c>
      <c r="AB25" t="str">
        <f ca="1">IFERROR(__xludf.DUMMYFUNCTION("""COMPUTED_VALUE"""),"45 ПРИДН")</f>
        <v>45 ПРИДН</v>
      </c>
      <c r="AC25" t="str">
        <f ca="1">IFERROR(__xludf.DUMMYFUNCTION("""COMPUTED_VALUE"""),"47600 МЕЛИТОПОЛЬ")</f>
        <v>47600 МЕЛИТОПОЛЬ</v>
      </c>
      <c r="AD25" t="str">
        <f ca="1">IFERROR(__xludf.DUMMYFUNCTION("""COMPUTED_VALUE"""),"23.12.20 07-55")</f>
        <v>23.12.20 07-55</v>
      </c>
      <c r="AE25" t="str">
        <f ca="1">IFERROR(__xludf.DUMMYFUNCTION("""COMPUTED_VALUE"""),"571 ИCТEК КAЛЕНДАРНЫЙ CPOК КAПИТAЛЬНОГО PEМOНТA")</f>
        <v>571 ИCТEК КAЛЕНДАРНЫЙ CPOК КAПИТAЛЬНОГО PEМOНТA</v>
      </c>
      <c r="AF25" t="str">
        <f ca="1">IFERROR(__xludf.DUMMYFUNCTION("""COMPUTED_VALUE"""),"45 ПРИДН")</f>
        <v>45 ПРИДН</v>
      </c>
      <c r="AG25" t="str">
        <f ca="1">IFERROR(__xludf.DUMMYFUNCTION("""COMPUTED_VALUE"""),"47600 МЕЛИТОПОЛЬ")</f>
        <v>47600 МЕЛИТОПОЛЬ</v>
      </c>
      <c r="AH25" t="str">
        <f ca="1">IFERROR(__xludf.DUMMYFUNCTION("""COMPUTED_VALUE"""),"14.01.21 16-20")</f>
        <v>14.01.21 16-20</v>
      </c>
      <c r="AI25" s="21">
        <f ca="1">IFERROR(__xludf.DUMMYFUNCTION("""COMPUTED_VALUE"""),44420.3576504629)</f>
        <v>44420.357650462902</v>
      </c>
    </row>
    <row r="26" spans="1:35" ht="15.75" customHeight="1" x14ac:dyDescent="0.15">
      <c r="A26">
        <f ca="1">IFERROR(__xludf.DUMMYFUNCTION("""COMPUTED_VALUE"""),69)</f>
        <v>69</v>
      </c>
      <c r="B26" t="str">
        <f ca="1">IFERROR(__xludf.DUMMYFUNCTION("""COMPUTED_VALUE"""),"Агрохимресурс")</f>
        <v>Агрохимресурс</v>
      </c>
      <c r="C26" t="str">
        <f ca="1">IFERROR(__xludf.DUMMYFUNCTION("""COMPUTED_VALUE"""),"СВ ТРАНС ГРУПП")</f>
        <v>СВ ТРАНС ГРУПП</v>
      </c>
      <c r="D26">
        <f ca="1">IFERROR(__xludf.DUMMYFUNCTION("""COMPUTED_VALUE"""),56567639)</f>
        <v>56567639</v>
      </c>
      <c r="E26" t="str">
        <f ca="1">IFERROR(__xludf.DUMMYFUNCTION("""COMPUTED_VALUE"""),"60 ПОЛУВАГОНЫ")</f>
        <v>60 ПОЛУВАГОНЫ</v>
      </c>
      <c r="F26">
        <f ca="1">IFERROR(__xludf.DUMMYFUNCTION("""COMPUTED_VALUE"""),42103)</f>
        <v>42103</v>
      </c>
      <c r="G26" t="str">
        <f ca="1">IFERROR(__xludf.DUMMYFUNCTION("""COMPUTED_VALUE"""),"ВАГОНЫ ЖД СВ")</f>
        <v>ВАГОНЫ ЖД СВ</v>
      </c>
      <c r="H26">
        <f ca="1">IFERROR(__xludf.DUMMYFUNCTION("""COMPUTED_VALUE"""),0)</f>
        <v>0</v>
      </c>
      <c r="I26">
        <f ca="1">IFERROR(__xludf.DUMMYFUNCTION("""COMPUTED_VALUE"""),7868)</f>
        <v>7868</v>
      </c>
      <c r="J26" t="str">
        <f ca="1">IFERROR(__xludf.DUMMYFUNCTION("""COMPUTED_VALUE"""),"3602 (33580-537-33700) ВИННИЦА - ГУЛЕВЦЫ")</f>
        <v>3602 (33580-537-33700) ВИННИЦА - ГУЛЕВЦЫ</v>
      </c>
      <c r="K26">
        <f ca="1">IFERROR(__xludf.DUMMYFUNCTION("""COMPUTED_VALUE"""),33770)</f>
        <v>33770</v>
      </c>
      <c r="L26" t="str">
        <f ca="1">IFERROR(__xludf.DUMMYFUNCTION("""COMPUTED_VALUE"""),"ХМЕЛЬНИК")</f>
        <v>ХМЕЛЬНИК</v>
      </c>
      <c r="M26" t="str">
        <f ca="1">IFERROR(__xludf.DUMMYFUNCTION("""COMPUTED_VALUE"""),"10.08.21 15-15")</f>
        <v>10.08.21 15-15</v>
      </c>
      <c r="N26" t="str">
        <f ca="1">IFERROR(__xludf.DUMMYFUNCTION("""COMPUTED_VALUE"""),"86 ОДПВ")</f>
        <v>86 ОДПВ</v>
      </c>
      <c r="O26">
        <f ca="1">IFERROR(__xludf.DUMMYFUNCTION("""COMPUTED_VALUE"""),41740)</f>
        <v>41740</v>
      </c>
      <c r="P26" t="str">
        <f ca="1">IFERROR(__xludf.DUMMYFUNCTION("""COMPUTED_VALUE"""),"ПРИБУГСКАЯ")</f>
        <v>ПРИБУГСКАЯ</v>
      </c>
      <c r="Q26">
        <f ca="1">IFERROR(__xludf.DUMMYFUNCTION("""COMPUTED_VALUE"""),33770)</f>
        <v>33770</v>
      </c>
      <c r="R26" t="str">
        <f ca="1">IFERROR(__xludf.DUMMYFUNCTION("""COMPUTED_VALUE"""),"ХМЕЛЬНИК")</f>
        <v>ХМЕЛЬНИК</v>
      </c>
      <c r="S26" t="str">
        <f ca="1">IFERROR(__xludf.DUMMYFUNCTION("""COMPUTED_VALUE"""),"10.08.21 15-15")</f>
        <v>10.08.21 15-15</v>
      </c>
      <c r="T26">
        <f ca="1">IFERROR(__xludf.DUMMYFUNCTION("""COMPUTED_VALUE"""),4307)</f>
        <v>4307</v>
      </c>
      <c r="U26" t="str">
        <f ca="1">IFERROR(__xludf.DUMMYFUNCTION("""COMPUTED_VALUE"""),"22.10.2023 ДР")</f>
        <v>22.10.2023 ДР</v>
      </c>
      <c r="Z26" t="str">
        <f ca="1">IFERROR(__xludf.DUMMYFUNCTION("""COMPUTED_VALUE"""),"ООО «СВ ТРАНС ГРУПП»")</f>
        <v>ООО «СВ ТРАНС ГРУПП»</v>
      </c>
      <c r="AA26" t="str">
        <f ca="1">IFERROR(__xludf.DUMMYFUNCTION("""COMPUTED_VALUE"""),"12-132")</f>
        <v>12-132</v>
      </c>
      <c r="AB26" t="str">
        <f ca="1">IFERROR(__xludf.DUMMYFUNCTION("""COMPUTED_VALUE"""),"45 ПРИДН")</f>
        <v>45 ПРИДН</v>
      </c>
      <c r="AC26" t="str">
        <f ca="1">IFERROR(__xludf.DUMMYFUNCTION("""COMPUTED_VALUE"""),"47660 ДНЕПРОРУДНАЯ")</f>
        <v>47660 ДНЕПРОРУДНАЯ</v>
      </c>
      <c r="AD26" t="str">
        <f ca="1">IFERROR(__xludf.DUMMYFUNCTION("""COMPUTED_VALUE"""),"24.12.20 22-00")</f>
        <v>24.12.20 22-00</v>
      </c>
      <c r="AE26" t="str">
        <f ca="1">IFERROR(__xludf.DUMMYFUNCTION("""COMPUTED_VALUE"""),"540 НEИCПPAВНOCТЬ ЗAПOPA ЛЮКA")</f>
        <v>540 НEИCПPAВНOCТЬ ЗAПOPA ЛЮКA</v>
      </c>
      <c r="AF26" t="str">
        <f ca="1">IFERROR(__xludf.DUMMYFUNCTION("""COMPUTED_VALUE"""),"45 ПРИДН")</f>
        <v>45 ПРИДН</v>
      </c>
      <c r="AG26" t="str">
        <f ca="1">IFERROR(__xludf.DUMMYFUNCTION("""COMPUTED_VALUE"""),"47660 ДНЕПРОРУДНАЯ")</f>
        <v>47660 ДНЕПРОРУДНАЯ</v>
      </c>
      <c r="AH26" t="str">
        <f ca="1">IFERROR(__xludf.DUMMYFUNCTION("""COMPUTED_VALUE"""),"25.12.20 17-00")</f>
        <v>25.12.20 17-00</v>
      </c>
      <c r="AI26" s="21">
        <f ca="1">IFERROR(__xludf.DUMMYFUNCTION("""COMPUTED_VALUE"""),44420.3576504629)</f>
        <v>44420.357650462902</v>
      </c>
    </row>
    <row r="27" spans="1:35" ht="15.75" customHeight="1" x14ac:dyDescent="0.15">
      <c r="A27">
        <f ca="1">IFERROR(__xludf.DUMMYFUNCTION("""COMPUTED_VALUE"""),70)</f>
        <v>70</v>
      </c>
      <c r="B27" t="str">
        <f ca="1">IFERROR(__xludf.DUMMYFUNCTION("""COMPUTED_VALUE"""),"Техрейс")</f>
        <v>Техрейс</v>
      </c>
      <c r="C27" t="str">
        <f ca="1">IFERROR(__xludf.DUMMYFUNCTION("""COMPUTED_VALUE"""),"СВ ТРАНС ГРУПП")</f>
        <v>СВ ТРАНС ГРУПП</v>
      </c>
      <c r="D27">
        <f ca="1">IFERROR(__xludf.DUMMYFUNCTION("""COMPUTED_VALUE"""),52220605)</f>
        <v>52220605</v>
      </c>
      <c r="E27" t="str">
        <f ca="1">IFERROR(__xludf.DUMMYFUNCTION("""COMPUTED_VALUE"""),"60 ПОЛУВАГОНЫ")</f>
        <v>60 ПОЛУВАГОНЫ</v>
      </c>
      <c r="F27">
        <f ca="1">IFERROR(__xludf.DUMMYFUNCTION("""COMPUTED_VALUE"""),16120)</f>
        <v>16120</v>
      </c>
      <c r="G27" t="str">
        <f ca="1">IFERROR(__xludf.DUMMYFUNCTION("""COMPUTED_VALUE"""),"УГОЛЬ КАМЕН ПР")</f>
        <v>УГОЛЬ КАМЕН ПР</v>
      </c>
      <c r="H27">
        <f ca="1">IFERROR(__xludf.DUMMYFUNCTION("""COMPUTED_VALUE"""),71)</f>
        <v>71</v>
      </c>
      <c r="I27">
        <f ca="1">IFERROR(__xludf.DUMMYFUNCTION("""COMPUTED_VALUE"""),5734)</f>
        <v>5734</v>
      </c>
      <c r="J27" t="str">
        <f ca="1">IFERROR(__xludf.DUMMYFUNCTION("""COMPUTED_VALUE"""),"3611 (48210-063-45000) ГРОДОВКА - НИЖНЕДН-УЗЕЛ")</f>
        <v>3611 (48210-063-45000) ГРОДОВКА - НИЖНЕДН-УЗЕЛ</v>
      </c>
      <c r="K27">
        <f ca="1">IFERROR(__xludf.DUMMYFUNCTION("""COMPUTED_VALUE"""),48200)</f>
        <v>48200</v>
      </c>
      <c r="L27" t="str">
        <f ca="1">IFERROR(__xludf.DUMMYFUNCTION("""COMPUTED_VALUE"""),"ПОКРОВСК")</f>
        <v>ПОКРОВСК</v>
      </c>
      <c r="M27" t="str">
        <f ca="1">IFERROR(__xludf.DUMMYFUNCTION("""COMPUTED_VALUE"""),"12.08.21 06-55")</f>
        <v>12.08.21 06-55</v>
      </c>
      <c r="N27" t="str">
        <f ca="1">IFERROR(__xludf.DUMMYFUNCTION("""COMPUTED_VALUE"""),"01 ПРИБ")</f>
        <v>01 ПРИБ</v>
      </c>
      <c r="O27">
        <f ca="1">IFERROR(__xludf.DUMMYFUNCTION("""COMPUTED_VALUE"""),33010)</f>
        <v>33010</v>
      </c>
      <c r="P27" t="str">
        <f ca="1">IFERROR(__xludf.DUMMYFUNCTION("""COMPUTED_VALUE"""),"ВОЛОЧИСК")</f>
        <v>ВОЛОЧИСК</v>
      </c>
      <c r="Q27">
        <f ca="1">IFERROR(__xludf.DUMMYFUNCTION("""COMPUTED_VALUE"""),48220)</f>
        <v>48220</v>
      </c>
      <c r="R27" t="str">
        <f ca="1">IFERROR(__xludf.DUMMYFUNCTION("""COMPUTED_VALUE"""),"НОВОГРОДОВКА")</f>
        <v>НОВОГРОДОВКА</v>
      </c>
      <c r="S27" t="str">
        <f ca="1">IFERROR(__xludf.DUMMYFUNCTION("""COMPUTED_VALUE"""),"10.08.21 19-15")</f>
        <v>10.08.21 19-15</v>
      </c>
      <c r="T27">
        <f ca="1">IFERROR(__xludf.DUMMYFUNCTION("""COMPUTED_VALUE"""),1816)</f>
        <v>1816</v>
      </c>
      <c r="U27" t="str">
        <f ca="1">IFERROR(__xludf.DUMMYFUNCTION("""COMPUTED_VALUE"""),"18.09.2023 ДР")</f>
        <v>18.09.2023 ДР</v>
      </c>
      <c r="Z27" t="str">
        <f ca="1">IFERROR(__xludf.DUMMYFUNCTION("""COMPUTED_VALUE"""),"ООО «СВ ТРАНС ГРУПП»")</f>
        <v>ООО «СВ ТРАНС ГРУПП»</v>
      </c>
      <c r="AA27" t="str">
        <f ca="1">IFERROR(__xludf.DUMMYFUNCTION("""COMPUTED_VALUE"""),"12-141")</f>
        <v>12-141</v>
      </c>
      <c r="AB27" t="str">
        <f ca="1">IFERROR(__xludf.DUMMYFUNCTION("""COMPUTED_VALUE"""),"40 ОД")</f>
        <v>40 ОД</v>
      </c>
      <c r="AC27" t="str">
        <f ca="1">IFERROR(__xludf.DUMMYFUNCTION("""COMPUTED_VALUE"""),"40200 ЧЕРНОМОРСК-П")</f>
        <v>40200 ЧЕРНОМОРСК-П</v>
      </c>
      <c r="AD27" t="str">
        <f ca="1">IFERROR(__xludf.DUMMYFUNCTION("""COMPUTED_VALUE"""),"29.07.21 14-45")</f>
        <v>29.07.21 14-45</v>
      </c>
      <c r="AE27" t="str">
        <f ca="1">IFERROR(__xludf.DUMMYFUNCTION("""COMPUTED_VALUE"""),"540 НEИCПPAВНOCТЬ ЗAПOPA ЛЮКA")</f>
        <v>540 НEИCПPAВНOCТЬ ЗAПOPA ЛЮКA</v>
      </c>
      <c r="AF27" t="str">
        <f ca="1">IFERROR(__xludf.DUMMYFUNCTION("""COMPUTED_VALUE"""),"40 ОД")</f>
        <v>40 ОД</v>
      </c>
      <c r="AG27" t="str">
        <f ca="1">IFERROR(__xludf.DUMMYFUNCTION("""COMPUTED_VALUE"""),"40200 ЧЕРНОМОРСК-П")</f>
        <v>40200 ЧЕРНОМОРСК-П</v>
      </c>
      <c r="AH27" t="str">
        <f ca="1">IFERROR(__xludf.DUMMYFUNCTION("""COMPUTED_VALUE"""),"30.07.21 14-00")</f>
        <v>30.07.21 14-00</v>
      </c>
      <c r="AI27" s="21">
        <f ca="1">IFERROR(__xludf.DUMMYFUNCTION("""COMPUTED_VALUE"""),44420.3576504629)</f>
        <v>44420.357650462902</v>
      </c>
    </row>
    <row r="28" spans="1:35" ht="15.75" customHeight="1" x14ac:dyDescent="0.15">
      <c r="A28">
        <f ca="1">IFERROR(__xludf.DUMMYFUNCTION("""COMPUTED_VALUE"""),81)</f>
        <v>81</v>
      </c>
      <c r="B28" t="str">
        <f ca="1">IFERROR(__xludf.DUMMYFUNCTION("""COMPUTED_VALUE"""),"Техрейс")</f>
        <v>Техрейс</v>
      </c>
      <c r="C28" t="str">
        <f ca="1">IFERROR(__xludf.DUMMYFUNCTION("""COMPUTED_VALUE"""),"НПП АРМЕТ")</f>
        <v>НПП АРМЕТ</v>
      </c>
      <c r="D28">
        <f ca="1">IFERROR(__xludf.DUMMYFUNCTION("""COMPUTED_VALUE"""),62784582)</f>
        <v>62784582</v>
      </c>
      <c r="E28" t="str">
        <f ca="1">IFERROR(__xludf.DUMMYFUNCTION("""COMPUTED_VALUE"""),"60 ПОЛУВАГОНЫ")</f>
        <v>60 ПОЛУВАГОНЫ</v>
      </c>
      <c r="F28">
        <f ca="1">IFERROR(__xludf.DUMMYFUNCTION("""COMPUTED_VALUE"""),23239)</f>
        <v>23239</v>
      </c>
      <c r="G28" t="str">
        <f ca="1">IFERROR(__xludf.DUMMYFUNCTION("""COMPUTED_VALUE"""),"ЩЕБЕНЬ ГРАНИТ")</f>
        <v>ЩЕБЕНЬ ГРАНИТ</v>
      </c>
      <c r="H28">
        <f ca="1">IFERROR(__xludf.DUMMYFUNCTION("""COMPUTED_VALUE"""),70)</f>
        <v>70</v>
      </c>
      <c r="I28">
        <f ca="1">IFERROR(__xludf.DUMMYFUNCTION("""COMPUTED_VALUE"""),2707)</f>
        <v>2707</v>
      </c>
      <c r="J28" t="str">
        <f ca="1">IFERROR(__xludf.DUMMYFUNCTION("""COMPUTED_VALUE"""),"2721 (46000-321-46600) ЗАПОРОЖ-ЛЕВ - НИКОПОЛЬ")</f>
        <v>2721 (46000-321-46600) ЗАПОРОЖ-ЛЕВ - НИКОПОЛЬ</v>
      </c>
      <c r="K28">
        <f ca="1">IFERROR(__xludf.DUMMYFUNCTION("""COMPUTED_VALUE"""),46600)</f>
        <v>46600</v>
      </c>
      <c r="L28" t="str">
        <f ca="1">IFERROR(__xludf.DUMMYFUNCTION("""COMPUTED_VALUE"""),"НИКОПОЛЬ")</f>
        <v>НИКОПОЛЬ</v>
      </c>
      <c r="M28" t="str">
        <f ca="1">IFERROR(__xludf.DUMMYFUNCTION("""COMPUTED_VALUE"""),"12.08.21 06-20")</f>
        <v>12.08.21 06-20</v>
      </c>
      <c r="N28" t="str">
        <f ca="1">IFERROR(__xludf.DUMMYFUNCTION("""COMPUTED_VALUE"""),"11 ПГР2")</f>
        <v>11 ПГР2</v>
      </c>
      <c r="O28">
        <f ca="1">IFERROR(__xludf.DUMMYFUNCTION("""COMPUTED_VALUE"""),44110)</f>
        <v>44110</v>
      </c>
      <c r="P28" t="str">
        <f ca="1">IFERROR(__xludf.DUMMYFUNCTION("""COMPUTED_VALUE"""),"МЕРЕФА")</f>
        <v>МЕРЕФА</v>
      </c>
      <c r="Q28">
        <f ca="1">IFERROR(__xludf.DUMMYFUNCTION("""COMPUTED_VALUE"""),46600)</f>
        <v>46600</v>
      </c>
      <c r="R28" t="str">
        <f ca="1">IFERROR(__xludf.DUMMYFUNCTION("""COMPUTED_VALUE"""),"НИКОПОЛЬ")</f>
        <v>НИКОПОЛЬ</v>
      </c>
      <c r="S28" t="str">
        <f ca="1">IFERROR(__xludf.DUMMYFUNCTION("""COMPUTED_VALUE"""),"12.08.21 06-20")</f>
        <v>12.08.21 06-20</v>
      </c>
      <c r="T28">
        <f ca="1">IFERROR(__xludf.DUMMYFUNCTION("""COMPUTED_VALUE"""),4806)</f>
        <v>4806</v>
      </c>
      <c r="U28" t="str">
        <f ca="1">IFERROR(__xludf.DUMMYFUNCTION("""COMPUTED_VALUE"""),"05.02.2024 ДР")</f>
        <v>05.02.2024 ДР</v>
      </c>
      <c r="Z28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28" t="str">
        <f ca="1">IFERROR(__xludf.DUMMYFUNCTION("""COMPUTED_VALUE"""),"12-9763")</f>
        <v>12-9763</v>
      </c>
      <c r="AB28" t="str">
        <f ca="1">IFERROR(__xludf.DUMMYFUNCTION("""COMPUTED_VALUE"""),"45 ПРИДН")</f>
        <v>45 ПРИДН</v>
      </c>
      <c r="AC28" t="str">
        <f ca="1">IFERROR(__xludf.DUMMYFUNCTION("""COMPUTED_VALUE"""),"45640 ВЕРХОВЦЕВО")</f>
        <v>45640 ВЕРХОВЦЕВО</v>
      </c>
      <c r="AD28" t="str">
        <f ca="1">IFERROR(__xludf.DUMMYFUNCTION("""COMPUTED_VALUE"""),"02.02.21 11-40")</f>
        <v>02.02.21 11-40</v>
      </c>
      <c r="AE28" t="str">
        <f ca="1">IFERROR(__xludf.DUMMYFUNCTION("""COMPUTED_VALUE"""),"570 ИCТEК КAЛЕНДАРНЫЙ CPOК ДEПOВCКОГО PEМOНТA")</f>
        <v>570 ИCТEК КAЛЕНДАРНЫЙ CPOК ДEПOВCКОГО PEМOНТA</v>
      </c>
      <c r="AF28" t="str">
        <f ca="1">IFERROR(__xludf.DUMMYFUNCTION("""COMPUTED_VALUE"""),"45 ПРИДН")</f>
        <v>45 ПРИДН</v>
      </c>
      <c r="AG28" t="str">
        <f ca="1">IFERROR(__xludf.DUMMYFUNCTION("""COMPUTED_VALUE"""),"45640 ВЕРХОВЦЕВО")</f>
        <v>45640 ВЕРХОВЦЕВО</v>
      </c>
      <c r="AH28" t="str">
        <f ca="1">IFERROR(__xludf.DUMMYFUNCTION("""COMPUTED_VALUE"""),"05.02.21 14-40")</f>
        <v>05.02.21 14-40</v>
      </c>
      <c r="AI28" s="21">
        <f ca="1">IFERROR(__xludf.DUMMYFUNCTION("""COMPUTED_VALUE"""),44420.3576504629)</f>
        <v>44420.357650462902</v>
      </c>
    </row>
    <row r="29" spans="1:35" ht="15.75" customHeight="1" x14ac:dyDescent="0.15">
      <c r="A29">
        <f ca="1">IFERROR(__xludf.DUMMYFUNCTION("""COMPUTED_VALUE"""),82)</f>
        <v>82</v>
      </c>
      <c r="B29" t="str">
        <f ca="1">IFERROR(__xludf.DUMMYFUNCTION("""COMPUTED_VALUE"""),"Трансцентр")</f>
        <v>Трансцентр</v>
      </c>
      <c r="C29" t="str">
        <f ca="1">IFERROR(__xludf.DUMMYFUNCTION("""COMPUTED_VALUE"""),"НПП АРМЕТ")</f>
        <v>НПП АРМЕТ</v>
      </c>
      <c r="D29">
        <f ca="1">IFERROR(__xludf.DUMMYFUNCTION("""COMPUTED_VALUE"""),62784608)</f>
        <v>62784608</v>
      </c>
      <c r="E29" t="str">
        <f ca="1">IFERROR(__xludf.DUMMYFUNCTION("""COMPUTED_VALUE"""),"60 ПОЛУВАГОНЫ")</f>
        <v>60 ПОЛУВАГОНЫ</v>
      </c>
      <c r="F29">
        <f ca="1">IFERROR(__xludf.DUMMYFUNCTION("""COMPUTED_VALUE"""),42103)</f>
        <v>42103</v>
      </c>
      <c r="G29" t="str">
        <f ca="1">IFERROR(__xludf.DUMMYFUNCTION("""COMPUTED_VALUE"""),"ВАГОНЫ ЖД СВ")</f>
        <v>ВАГОНЫ ЖД СВ</v>
      </c>
      <c r="H29">
        <f ca="1">IFERROR(__xludf.DUMMYFUNCTION("""COMPUTED_VALUE"""),69)</f>
        <v>69</v>
      </c>
      <c r="I29">
        <f ca="1">IFERROR(__xludf.DUMMYFUNCTION("""COMPUTED_VALUE"""),6302)</f>
        <v>6302</v>
      </c>
      <c r="J29" t="str">
        <f ca="1">IFERROR(__xludf.DUMMYFUNCTION("""COMPUTED_VALUE"""),"3040 (35400-038-35000) КОВЕЛЬ - ЗДОЛБУНОВ")</f>
        <v>3040 (35400-038-35000) КОВЕЛЬ - ЗДОЛБУНОВ</v>
      </c>
      <c r="K29">
        <f ca="1">IFERROR(__xludf.DUMMYFUNCTION("""COMPUTED_VALUE"""),34000)</f>
        <v>34000</v>
      </c>
      <c r="L29" t="str">
        <f ca="1">IFERROR(__xludf.DUMMYFUNCTION("""COMPUTED_VALUE"""),"ШЕПЕТОВКА")</f>
        <v>ШЕПЕТОВКА</v>
      </c>
      <c r="M29" t="str">
        <f ca="1">IFERROR(__xludf.DUMMYFUNCTION("""COMPUTED_VALUE"""),"12.08.21 01-20")</f>
        <v>12.08.21 01-20</v>
      </c>
      <c r="N29" t="str">
        <f ca="1">IFERROR(__xludf.DUMMYFUNCTION("""COMPUTED_VALUE"""),"84 ДОСЛ")</f>
        <v>84 ДОСЛ</v>
      </c>
      <c r="O29">
        <f ca="1">IFERROR(__xludf.DUMMYFUNCTION("""COMPUTED_VALUE"""),34780)</f>
        <v>34780</v>
      </c>
      <c r="P29" t="str">
        <f ca="1">IFERROR(__xludf.DUMMYFUNCTION("""COMPUTED_VALUE"""),"МАЙДАН-ВИЛА")</f>
        <v>МАЙДАН-ВИЛА</v>
      </c>
      <c r="Q29">
        <f ca="1">IFERROR(__xludf.DUMMYFUNCTION("""COMPUTED_VALUE"""),34780)</f>
        <v>34780</v>
      </c>
      <c r="R29" t="str">
        <f ca="1">IFERROR(__xludf.DUMMYFUNCTION("""COMPUTED_VALUE"""),"МАЙДАН-ВИЛА")</f>
        <v>МАЙДАН-ВИЛА</v>
      </c>
      <c r="S29" t="str">
        <f ca="1">IFERROR(__xludf.DUMMYFUNCTION("""COMPUTED_VALUE"""),"29.07.21 13-10")</f>
        <v>29.07.21 13-10</v>
      </c>
      <c r="T29">
        <f ca="1">IFERROR(__xludf.DUMMYFUNCTION("""COMPUTED_VALUE"""),0)</f>
        <v>0</v>
      </c>
      <c r="U29" t="str">
        <f ca="1">IFERROR(__xludf.DUMMYFUNCTION("""COMPUTED_VALUE"""),"31.01.2024 ДР")</f>
        <v>31.01.2024 ДР</v>
      </c>
      <c r="Z29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29" t="str">
        <f ca="1">IFERROR(__xludf.DUMMYFUNCTION("""COMPUTED_VALUE"""),"12-9763")</f>
        <v>12-9763</v>
      </c>
      <c r="AB29" t="str">
        <f ca="1">IFERROR(__xludf.DUMMYFUNCTION("""COMPUTED_VALUE"""),"32 Ю-ЗАП")</f>
        <v>32 Ю-ЗАП</v>
      </c>
      <c r="AC29" t="str">
        <f ca="1">IFERROR(__xludf.DUMMYFUNCTION("""COMPUTED_VALUE"""),"34000 ШЕПЕТОВКА")</f>
        <v>34000 ШЕПЕТОВКА</v>
      </c>
      <c r="AD29" t="str">
        <f ca="1">IFERROR(__xludf.DUMMYFUNCTION("""COMPUTED_VALUE"""),"07.03.21 20-20")</f>
        <v>07.03.21 20-20</v>
      </c>
      <c r="AE29" t="str">
        <f ca="1">IFERROR(__xludf.DUMMYFUNCTION("""COMPUTED_VALUE"""),"503 OБPЫВ CВAPНOГO ШВA CТOЙКИ")</f>
        <v>503 OБPЫВ CВAPНOГO ШВA CТOЙКИ</v>
      </c>
      <c r="AF29" t="str">
        <f ca="1">IFERROR(__xludf.DUMMYFUNCTION("""COMPUTED_VALUE"""),"32 Ю-ЗАП")</f>
        <v>32 Ю-ЗАП</v>
      </c>
      <c r="AG29" t="str">
        <f ca="1">IFERROR(__xludf.DUMMYFUNCTION("""COMPUTED_VALUE"""),"34000 ШЕПЕТОВКА")</f>
        <v>34000 ШЕПЕТОВКА</v>
      </c>
      <c r="AH29" t="str">
        <f ca="1">IFERROR(__xludf.DUMMYFUNCTION("""COMPUTED_VALUE"""),"13.03.21 11-00")</f>
        <v>13.03.21 11-00</v>
      </c>
      <c r="AI29" s="21">
        <f ca="1">IFERROR(__xludf.DUMMYFUNCTION("""COMPUTED_VALUE"""),44420.3576504629)</f>
        <v>44420.357650462902</v>
      </c>
    </row>
    <row r="30" spans="1:35" ht="15.75" customHeight="1" x14ac:dyDescent="0.15">
      <c r="A30">
        <f ca="1">IFERROR(__xludf.DUMMYFUNCTION("""COMPUTED_VALUE"""),83)</f>
        <v>83</v>
      </c>
      <c r="B30" t="str">
        <f ca="1">IFERROR(__xludf.DUMMYFUNCTION("""COMPUTED_VALUE"""),"Лидер")</f>
        <v>Лидер</v>
      </c>
      <c r="C30" t="str">
        <f ca="1">IFERROR(__xludf.DUMMYFUNCTION("""COMPUTED_VALUE"""),"НПП АРМЕТ")</f>
        <v>НПП АРМЕТ</v>
      </c>
      <c r="D30">
        <f ca="1">IFERROR(__xludf.DUMMYFUNCTION("""COMPUTED_VALUE"""),62784616)</f>
        <v>62784616</v>
      </c>
      <c r="E30" t="str">
        <f ca="1">IFERROR(__xludf.DUMMYFUNCTION("""COMPUTED_VALUE"""),"60 ПОЛУВАГОНЫ")</f>
        <v>60 ПОЛУВАГОНЫ</v>
      </c>
      <c r="F30">
        <f ca="1">IFERROR(__xludf.DUMMYFUNCTION("""COMPUTED_VALUE"""),23107)</f>
        <v>23107</v>
      </c>
      <c r="G30" t="str">
        <f ca="1">IFERROR(__xludf.DUMMYFUNCTION("""COMPUTED_VALUE"""),"ПЕСОК СТРОИТ")</f>
        <v>ПЕСОК СТРОИТ</v>
      </c>
      <c r="H30">
        <f ca="1">IFERROR(__xludf.DUMMYFUNCTION("""COMPUTED_VALUE"""),69)</f>
        <v>69</v>
      </c>
      <c r="I30">
        <f ca="1">IFERROR(__xludf.DUMMYFUNCTION("""COMPUTED_VALUE"""),5133)</f>
        <v>5133</v>
      </c>
      <c r="J30" t="str">
        <f ca="1">IFERROR(__xludf.DUMMYFUNCTION("""COMPUTED_VALUE"""),"3895 (36260-030-36240) БЕРЕЗОВ-ОСТР - КОЗОВА")</f>
        <v>3895 (36260-030-36240) БЕРЕЗОВ-ОСТР - КОЗОВА</v>
      </c>
      <c r="K30">
        <f ca="1">IFERROR(__xludf.DUMMYFUNCTION("""COMPUTED_VALUE"""),36240)</f>
        <v>36240</v>
      </c>
      <c r="L30" t="str">
        <f ca="1">IFERROR(__xludf.DUMMYFUNCTION("""COMPUTED_VALUE"""),"КОЗОВА")</f>
        <v>КОЗОВА</v>
      </c>
      <c r="M30" t="str">
        <f ca="1">IFERROR(__xludf.DUMMYFUNCTION("""COMPUTED_VALUE"""),"12.08.21 01-37")</f>
        <v>12.08.21 01-37</v>
      </c>
      <c r="N30" t="str">
        <f ca="1">IFERROR(__xludf.DUMMYFUNCTION("""COMPUTED_VALUE"""),"04 РАСФ")</f>
        <v>04 РАСФ</v>
      </c>
      <c r="O30">
        <f ca="1">IFERROR(__xludf.DUMMYFUNCTION("""COMPUTED_VALUE"""),36240)</f>
        <v>36240</v>
      </c>
      <c r="P30" t="str">
        <f ca="1">IFERROR(__xludf.DUMMYFUNCTION("""COMPUTED_VALUE"""),"КОЗОВА")</f>
        <v>КОЗОВА</v>
      </c>
      <c r="Q30">
        <f ca="1">IFERROR(__xludf.DUMMYFUNCTION("""COMPUTED_VALUE"""),34750)</f>
        <v>34750</v>
      </c>
      <c r="R30" t="str">
        <f ca="1">IFERROR(__xludf.DUMMYFUNCTION("""COMPUTED_VALUE"""),"ПЕНИЗЕВИЧИ")</f>
        <v>ПЕНИЗЕВИЧИ</v>
      </c>
      <c r="S30" t="str">
        <f ca="1">IFERROR(__xludf.DUMMYFUNCTION("""COMPUTED_VALUE"""),"09.08.21 10-10")</f>
        <v>09.08.21 10-10</v>
      </c>
      <c r="T30">
        <f ca="1">IFERROR(__xludf.DUMMYFUNCTION("""COMPUTED_VALUE"""),3437)</f>
        <v>3437</v>
      </c>
      <c r="U30" t="str">
        <f ca="1">IFERROR(__xludf.DUMMYFUNCTION("""COMPUTED_VALUE"""),"05.02.2024 ДР")</f>
        <v>05.02.2024 ДР</v>
      </c>
      <c r="Z30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0" t="str">
        <f ca="1">IFERROR(__xludf.DUMMYFUNCTION("""COMPUTED_VALUE"""),"12-9763")</f>
        <v>12-9763</v>
      </c>
      <c r="AB30" t="str">
        <f ca="1">IFERROR(__xludf.DUMMYFUNCTION("""COMPUTED_VALUE"""),"45 ПРИДН")</f>
        <v>45 ПРИДН</v>
      </c>
      <c r="AC30" t="str">
        <f ca="1">IFERROR(__xludf.DUMMYFUNCTION("""COMPUTED_VALUE"""),"45640 ВЕРХОВЦЕВО")</f>
        <v>45640 ВЕРХОВЦЕВО</v>
      </c>
      <c r="AD30" t="str">
        <f ca="1">IFERROR(__xludf.DUMMYFUNCTION("""COMPUTED_VALUE"""),"02.02.21 11-40")</f>
        <v>02.02.21 11-40</v>
      </c>
      <c r="AE30" t="str">
        <f ca="1">IFERROR(__xludf.DUMMYFUNCTION("""COMPUTED_VALUE"""),"570 ИCТEК КAЛЕНДАРНЫЙ CPOК ДEПOВCКОГО PEМOНТA")</f>
        <v>570 ИCТEК КAЛЕНДАРНЫЙ CPOК ДEПOВCКОГО PEМOНТA</v>
      </c>
      <c r="AF30" t="str">
        <f ca="1">IFERROR(__xludf.DUMMYFUNCTION("""COMPUTED_VALUE"""),"45 ПРИДН")</f>
        <v>45 ПРИДН</v>
      </c>
      <c r="AG30" t="str">
        <f ca="1">IFERROR(__xludf.DUMMYFUNCTION("""COMPUTED_VALUE"""),"45640 ВЕРХОВЦЕВО")</f>
        <v>45640 ВЕРХОВЦЕВО</v>
      </c>
      <c r="AH30" t="str">
        <f ca="1">IFERROR(__xludf.DUMMYFUNCTION("""COMPUTED_VALUE"""),"05.02.21 14-00")</f>
        <v>05.02.21 14-00</v>
      </c>
      <c r="AI30" s="21">
        <f ca="1">IFERROR(__xludf.DUMMYFUNCTION("""COMPUTED_VALUE"""),44420.3576504629)</f>
        <v>44420.357650462902</v>
      </c>
    </row>
    <row r="31" spans="1:35" ht="15.75" customHeight="1" x14ac:dyDescent="0.15">
      <c r="A31">
        <f ca="1">IFERROR(__xludf.DUMMYFUNCTION("""COMPUTED_VALUE"""),84)</f>
        <v>84</v>
      </c>
      <c r="B31" t="str">
        <f ca="1">IFERROR(__xludf.DUMMYFUNCTION("""COMPUTED_VALUE"""),"Агрохимресурс")</f>
        <v>Агрохимресурс</v>
      </c>
      <c r="C31" t="str">
        <f ca="1">IFERROR(__xludf.DUMMYFUNCTION("""COMPUTED_VALUE"""),"НПП АРМЕТ")</f>
        <v>НПП АРМЕТ</v>
      </c>
      <c r="D31">
        <f ca="1">IFERROR(__xludf.DUMMYFUNCTION("""COMPUTED_VALUE"""),62784624)</f>
        <v>62784624</v>
      </c>
      <c r="E31" t="str">
        <f ca="1">IFERROR(__xludf.DUMMYFUNCTION("""COMPUTED_VALUE"""),"60 ПОЛУВАГОНЫ")</f>
        <v>60 ПОЛУВАГОНЫ</v>
      </c>
      <c r="F31">
        <f ca="1">IFERROR(__xludf.DUMMYFUNCTION("""COMPUTED_VALUE"""),43304)</f>
        <v>43304</v>
      </c>
      <c r="G31" t="str">
        <f ca="1">IFERROR(__xludf.DUMMYFUNCTION("""COMPUTED_VALUE"""),"КАРБАМИД")</f>
        <v>КАРБАМИД</v>
      </c>
      <c r="H31">
        <f ca="1">IFERROR(__xludf.DUMMYFUNCTION("""COMPUTED_VALUE"""),59)</f>
        <v>59</v>
      </c>
      <c r="I31">
        <f ca="1">IFERROR(__xludf.DUMMYFUNCTION("""COMPUTED_VALUE"""),2920)</f>
        <v>2920</v>
      </c>
      <c r="J31" t="str">
        <f ca="1">IFERROR(__xludf.DUMMYFUNCTION("""COMPUTED_VALUE"""),"3802 (32420-011-32500) ГРИБОВА РУД - ЧЕРНИГОВ")</f>
        <v>3802 (32420-011-32500) ГРИБОВА РУД - ЧЕРНИГОВ</v>
      </c>
      <c r="K31">
        <f ca="1">IFERROR(__xludf.DUMMYFUNCTION("""COMPUTED_VALUE"""),32500)</f>
        <v>32500</v>
      </c>
      <c r="L31" t="str">
        <f ca="1">IFERROR(__xludf.DUMMYFUNCTION("""COMPUTED_VALUE"""),"ЧЕРНИГОВ")</f>
        <v>ЧЕРНИГОВ</v>
      </c>
      <c r="M31" t="str">
        <f ca="1">IFERROR(__xludf.DUMMYFUNCTION("""COMPUTED_VALUE"""),"11.08.21 21-10")</f>
        <v>11.08.21 21-10</v>
      </c>
      <c r="N31" t="str">
        <f ca="1">IFERROR(__xludf.DUMMYFUNCTION("""COMPUTED_VALUE"""),"04 РАСФ")</f>
        <v>04 РАСФ</v>
      </c>
      <c r="O31">
        <f ca="1">IFERROR(__xludf.DUMMYFUNCTION("""COMPUTED_VALUE"""),40770)</f>
        <v>40770</v>
      </c>
      <c r="P31" t="str">
        <f ca="1">IFERROR(__xludf.DUMMYFUNCTION("""COMPUTED_VALUE"""),"КНЯЖЕВО")</f>
        <v>КНЯЖЕВО</v>
      </c>
      <c r="Q31">
        <f ca="1">IFERROR(__xludf.DUMMYFUNCTION("""COMPUTED_VALUE"""),32430)</f>
        <v>32430</v>
      </c>
      <c r="R31" t="str">
        <f ca="1">IFERROR(__xludf.DUMMYFUNCTION("""COMPUTED_VALUE"""),"ГОЛУБИЧИ")</f>
        <v>ГОЛУБИЧИ</v>
      </c>
      <c r="S31" t="str">
        <f ca="1">IFERROR(__xludf.DUMMYFUNCTION("""COMPUTED_VALUE"""),"11.08.21 14-50")</f>
        <v>11.08.21 14-50</v>
      </c>
      <c r="T31">
        <f ca="1">IFERROR(__xludf.DUMMYFUNCTION("""COMPUTED_VALUE"""),4165)</f>
        <v>4165</v>
      </c>
      <c r="U31" t="str">
        <f ca="1">IFERROR(__xludf.DUMMYFUNCTION("""COMPUTED_VALUE"""),"01.02.2024 ДР")</f>
        <v>01.02.2024 ДР</v>
      </c>
      <c r="Z31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1" t="str">
        <f ca="1">IFERROR(__xludf.DUMMYFUNCTION("""COMPUTED_VALUE"""),"12-9763")</f>
        <v>12-9763</v>
      </c>
      <c r="AB31" t="str">
        <f ca="1">IFERROR(__xludf.DUMMYFUNCTION("""COMPUTED_VALUE"""),"45 ПРИДН")</f>
        <v>45 ПРИДН</v>
      </c>
      <c r="AC31" t="str">
        <f ca="1">IFERROR(__xludf.DUMMYFUNCTION("""COMPUTED_VALUE"""),"45640 ВЕРХОВЦЕВО")</f>
        <v>45640 ВЕРХОВЦЕВО</v>
      </c>
      <c r="AD31" t="str">
        <f ca="1">IFERROR(__xludf.DUMMYFUNCTION("""COMPUTED_VALUE"""),"28.01.21 13-15")</f>
        <v>28.01.21 13-15</v>
      </c>
      <c r="AE31" t="str">
        <f ca="1">IFERROR(__xludf.DUMMYFUNCTION("""COMPUTED_VALUE"""),"570 ИCТEК КAЛЕНДАРНЫЙ CPOК ДEПOВCКОГО PEМOНТA")</f>
        <v>570 ИCТEК КAЛЕНДАРНЫЙ CPOК ДEПOВCКОГО PEМOНТA</v>
      </c>
      <c r="AF31" t="str">
        <f ca="1">IFERROR(__xludf.DUMMYFUNCTION("""COMPUTED_VALUE"""),"45 ПРИДН")</f>
        <v>45 ПРИДН</v>
      </c>
      <c r="AG31" t="str">
        <f ca="1">IFERROR(__xludf.DUMMYFUNCTION("""COMPUTED_VALUE"""),"45640 ВЕРХОВЦЕВО")</f>
        <v>45640 ВЕРХОВЦЕВО</v>
      </c>
      <c r="AH31" t="str">
        <f ca="1">IFERROR(__xludf.DUMMYFUNCTION("""COMPUTED_VALUE"""),"01.02.21 15-30")</f>
        <v>01.02.21 15-30</v>
      </c>
      <c r="AI31" s="21">
        <f ca="1">IFERROR(__xludf.DUMMYFUNCTION("""COMPUTED_VALUE"""),44420.3576504629)</f>
        <v>44420.357650462902</v>
      </c>
    </row>
    <row r="32" spans="1:35" ht="15.75" customHeight="1" x14ac:dyDescent="0.15">
      <c r="A32">
        <f ca="1">IFERROR(__xludf.DUMMYFUNCTION("""COMPUTED_VALUE"""),85)</f>
        <v>85</v>
      </c>
      <c r="B32" t="str">
        <f ca="1">IFERROR(__xludf.DUMMYFUNCTION("""COMPUTED_VALUE"""),"Подольский цемент")</f>
        <v>Подольский цемент</v>
      </c>
      <c r="C32" t="str">
        <f ca="1">IFERROR(__xludf.DUMMYFUNCTION("""COMPUTED_VALUE"""),"НПП АРМЕТ")</f>
        <v>НПП АРМЕТ</v>
      </c>
      <c r="D32">
        <f ca="1">IFERROR(__xludf.DUMMYFUNCTION("""COMPUTED_VALUE"""),62784632)</f>
        <v>62784632</v>
      </c>
      <c r="E32" t="str">
        <f ca="1">IFERROR(__xludf.DUMMYFUNCTION("""COMPUTED_VALUE"""),"60 ПОЛУВАГОНЫ")</f>
        <v>60 ПОЛУВАГОНЫ</v>
      </c>
      <c r="F32">
        <f ca="1">IFERROR(__xludf.DUMMYFUNCTION("""COMPUTED_VALUE"""),24500)</f>
        <v>24500</v>
      </c>
      <c r="G32" t="str">
        <f ca="1">IFERROR(__xludf.DUMMYFUNCTION("""COMPUTED_VALUE"""),"КЛИНКЕР ЦЕМЕНТ")</f>
        <v>КЛИНКЕР ЦЕМЕНТ</v>
      </c>
      <c r="H32">
        <f ca="1">IFERROR(__xludf.DUMMYFUNCTION("""COMPUTED_VALUE"""),69)</f>
        <v>69</v>
      </c>
      <c r="I32">
        <f ca="1">IFERROR(__xludf.DUMMYFUNCTION("""COMPUTED_VALUE"""),1489)</f>
        <v>1489</v>
      </c>
      <c r="J32" t="str">
        <f ca="1">IFERROR(__xludf.DUMMYFUNCTION("""COMPUTED_VALUE"""),"3106 (33300-024-37780) ГУМЕНЦЫ - НИКОЛАЕВ-ДН")</f>
        <v>3106 (33300-024-37780) ГУМЕНЦЫ - НИКОЛАЕВ-ДН</v>
      </c>
      <c r="K32">
        <f ca="1">IFERROR(__xludf.DUMMYFUNCTION("""COMPUTED_VALUE"""),33300)</f>
        <v>33300</v>
      </c>
      <c r="L32" t="str">
        <f ca="1">IFERROR(__xludf.DUMMYFUNCTION("""COMPUTED_VALUE"""),"ГУМЕНЦЫ")</f>
        <v>ГУМЕНЦЫ</v>
      </c>
      <c r="M32" t="str">
        <f ca="1">IFERROR(__xludf.DUMMYFUNCTION("""COMPUTED_VALUE"""),"12.08.21 01-50")</f>
        <v>12.08.21 01-50</v>
      </c>
      <c r="N32" t="str">
        <f ca="1">IFERROR(__xludf.DUMMYFUNCTION("""COMPUTED_VALUE"""),"97 ОКОТ")</f>
        <v>97 ОКОТ</v>
      </c>
      <c r="O32">
        <f ca="1">IFERROR(__xludf.DUMMYFUNCTION("""COMPUTED_VALUE"""),37780)</f>
        <v>37780</v>
      </c>
      <c r="P32" t="str">
        <f ca="1">IFERROR(__xludf.DUMMYFUNCTION("""COMPUTED_VALUE"""),"НИКОЛАЕВ-ДН")</f>
        <v>НИКОЛАЕВ-ДН</v>
      </c>
      <c r="Q32">
        <f ca="1">IFERROR(__xludf.DUMMYFUNCTION("""COMPUTED_VALUE"""),33300)</f>
        <v>33300</v>
      </c>
      <c r="R32" t="str">
        <f ca="1">IFERROR(__xludf.DUMMYFUNCTION("""COMPUTED_VALUE"""),"ГУМЕНЦЫ")</f>
        <v>ГУМЕНЦЫ</v>
      </c>
      <c r="S32" t="str">
        <f ca="1">IFERROR(__xludf.DUMMYFUNCTION("""COMPUTED_VALUE"""),"12.08.21 01-50")</f>
        <v>12.08.21 01-50</v>
      </c>
      <c r="T32">
        <f ca="1">IFERROR(__xludf.DUMMYFUNCTION("""COMPUTED_VALUE"""),5268)</f>
        <v>5268</v>
      </c>
      <c r="U32" t="str">
        <f ca="1">IFERROR(__xludf.DUMMYFUNCTION("""COMPUTED_VALUE"""),"04.02.2024 ДР")</f>
        <v>04.02.2024 ДР</v>
      </c>
      <c r="Z32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2" t="str">
        <f ca="1">IFERROR(__xludf.DUMMYFUNCTION("""COMPUTED_VALUE"""),"12-9763")</f>
        <v>12-9763</v>
      </c>
      <c r="AB32" t="str">
        <f ca="1">IFERROR(__xludf.DUMMYFUNCTION("""COMPUTED_VALUE"""),"45 ПРИДН")</f>
        <v>45 ПРИДН</v>
      </c>
      <c r="AC32" t="str">
        <f ca="1">IFERROR(__xludf.DUMMYFUNCTION("""COMPUTED_VALUE"""),"45640 ВЕРХОВЦЕВО")</f>
        <v>45640 ВЕРХОВЦЕВО</v>
      </c>
      <c r="AD32" t="str">
        <f ca="1">IFERROR(__xludf.DUMMYFUNCTION("""COMPUTED_VALUE"""),"02.02.21 00-40")</f>
        <v>02.02.21 00-40</v>
      </c>
      <c r="AE32" t="str">
        <f ca="1">IFERROR(__xludf.DUMMYFUNCTION("""COMPUTED_VALUE"""),"570 ИCТEК КAЛЕНДАРНЫЙ CPOК ДEПOВCКОГО PEМOНТA")</f>
        <v>570 ИCТEК КAЛЕНДАРНЫЙ CPOК ДEПOВCКОГО PEМOНТA</v>
      </c>
      <c r="AF32" t="str">
        <f ca="1">IFERROR(__xludf.DUMMYFUNCTION("""COMPUTED_VALUE"""),"45 ПРИДН")</f>
        <v>45 ПРИДН</v>
      </c>
      <c r="AG32" t="str">
        <f ca="1">IFERROR(__xludf.DUMMYFUNCTION("""COMPUTED_VALUE"""),"45640 ВЕРХОВЦЕВО")</f>
        <v>45640 ВЕРХОВЦЕВО</v>
      </c>
      <c r="AH32" t="str">
        <f ca="1">IFERROR(__xludf.DUMMYFUNCTION("""COMPUTED_VALUE"""),"04.02.21 14-30")</f>
        <v>04.02.21 14-30</v>
      </c>
      <c r="AI32" s="21">
        <f ca="1">IFERROR(__xludf.DUMMYFUNCTION("""COMPUTED_VALUE"""),44420.3576504629)</f>
        <v>44420.357650462902</v>
      </c>
    </row>
    <row r="33" spans="1:35" ht="15.75" customHeight="1" x14ac:dyDescent="0.15">
      <c r="A33">
        <f ca="1">IFERROR(__xludf.DUMMYFUNCTION("""COMPUTED_VALUE"""),86)</f>
        <v>86</v>
      </c>
      <c r="B33" t="str">
        <f ca="1">IFERROR(__xludf.DUMMYFUNCTION("""COMPUTED_VALUE"""),"Подольский цемент")</f>
        <v>Подольский цемент</v>
      </c>
      <c r="C33" t="str">
        <f ca="1">IFERROR(__xludf.DUMMYFUNCTION("""COMPUTED_VALUE"""),"НПП АРМЕТ")</f>
        <v>НПП АРМЕТ</v>
      </c>
      <c r="D33">
        <f ca="1">IFERROR(__xludf.DUMMYFUNCTION("""COMPUTED_VALUE"""),62784657)</f>
        <v>62784657</v>
      </c>
      <c r="E33" t="str">
        <f ca="1">IFERROR(__xludf.DUMMYFUNCTION("""COMPUTED_VALUE"""),"60 ПОЛУВАГОНЫ")</f>
        <v>60 ПОЛУВАГОНЫ</v>
      </c>
      <c r="F33">
        <f ca="1">IFERROR(__xludf.DUMMYFUNCTION("""COMPUTED_VALUE"""),42103)</f>
        <v>42103</v>
      </c>
      <c r="G33" t="str">
        <f ca="1">IFERROR(__xludf.DUMMYFUNCTION("""COMPUTED_VALUE"""),"ВАГОНЫ ЖД СВ")</f>
        <v>ВАГОНЫ ЖД СВ</v>
      </c>
      <c r="H33">
        <f ca="1">IFERROR(__xludf.DUMMYFUNCTION("""COMPUTED_VALUE"""),0)</f>
        <v>0</v>
      </c>
      <c r="I33">
        <f ca="1">IFERROR(__xludf.DUMMYFUNCTION("""COMPUTED_VALUE"""),5268)</f>
        <v>5268</v>
      </c>
      <c r="J33" t="str">
        <f ca="1">IFERROR(__xludf.DUMMYFUNCTION("""COMPUTED_VALUE"""),"9511 (33300-056-37780) ГУМЕНЦЫ - НИКОЛАЕВ-ДН")</f>
        <v>9511 (33300-056-37780) ГУМЕНЦЫ - НИКОЛАЕВ-ДН</v>
      </c>
      <c r="K33">
        <f ca="1">IFERROR(__xludf.DUMMYFUNCTION("""COMPUTED_VALUE"""),37780)</f>
        <v>37780</v>
      </c>
      <c r="L33" t="str">
        <f ca="1">IFERROR(__xludf.DUMMYFUNCTION("""COMPUTED_VALUE"""),"НИКОЛАЕВ-ДН")</f>
        <v>НИКОЛАЕВ-ДН</v>
      </c>
      <c r="M33" t="str">
        <f ca="1">IFERROR(__xludf.DUMMYFUNCTION("""COMPUTED_VALUE"""),"10.08.21 09-00")</f>
        <v>10.08.21 09-00</v>
      </c>
      <c r="N33" t="str">
        <f ca="1">IFERROR(__xludf.DUMMYFUNCTION("""COMPUTED_VALUE"""),"91 ПРДР")</f>
        <v>91 ПРДР</v>
      </c>
      <c r="O33">
        <f ca="1">IFERROR(__xludf.DUMMYFUNCTION("""COMPUTED_VALUE"""),33300)</f>
        <v>33300</v>
      </c>
      <c r="P33" t="str">
        <f ca="1">IFERROR(__xludf.DUMMYFUNCTION("""COMPUTED_VALUE"""),"ГУМЕНЦЫ")</f>
        <v>ГУМЕНЦЫ</v>
      </c>
      <c r="Q33">
        <f ca="1">IFERROR(__xludf.DUMMYFUNCTION("""COMPUTED_VALUE"""),37780)</f>
        <v>37780</v>
      </c>
      <c r="R33" t="str">
        <f ca="1">IFERROR(__xludf.DUMMYFUNCTION("""COMPUTED_VALUE"""),"НИКОЛАЕВ-ДН")</f>
        <v>НИКОЛАЕВ-ДН</v>
      </c>
      <c r="S33" t="str">
        <f ca="1">IFERROR(__xludf.DUMMYFUNCTION("""COMPUTED_VALUE"""),"10.08.21 09-00")</f>
        <v>10.08.21 09-00</v>
      </c>
      <c r="T33">
        <f ca="1">IFERROR(__xludf.DUMMYFUNCTION("""COMPUTED_VALUE"""),1489)</f>
        <v>1489</v>
      </c>
      <c r="U33" t="str">
        <f ca="1">IFERROR(__xludf.DUMMYFUNCTION("""COMPUTED_VALUE"""),"30.01.2024 ДР")</f>
        <v>30.01.2024 ДР</v>
      </c>
      <c r="Z33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3" t="str">
        <f ca="1">IFERROR(__xludf.DUMMYFUNCTION("""COMPUTED_VALUE"""),"12-9763")</f>
        <v>12-9763</v>
      </c>
      <c r="AB33" t="str">
        <f ca="1">IFERROR(__xludf.DUMMYFUNCTION("""COMPUTED_VALUE"""),"45 ПРИДН")</f>
        <v>45 ПРИДН</v>
      </c>
      <c r="AC33" t="str">
        <f ca="1">IFERROR(__xludf.DUMMYFUNCTION("""COMPUTED_VALUE"""),"45640 ВЕРХОВЦЕВО")</f>
        <v>45640 ВЕРХОВЦЕВО</v>
      </c>
      <c r="AD33" t="str">
        <f ca="1">IFERROR(__xludf.DUMMYFUNCTION("""COMPUTED_VALUE"""),"28.01.21 13-15")</f>
        <v>28.01.21 13-15</v>
      </c>
      <c r="AE33" t="str">
        <f ca="1">IFERROR(__xludf.DUMMYFUNCTION("""COMPUTED_VALUE"""),"570 ИCТEК КAЛЕНДАРНЫЙ CPOК ДEПOВCКОГО PEМOНТA")</f>
        <v>570 ИCТEК КAЛЕНДАРНЫЙ CPOК ДEПOВCКОГО PEМOНТA</v>
      </c>
      <c r="AF33" t="str">
        <f ca="1">IFERROR(__xludf.DUMMYFUNCTION("""COMPUTED_VALUE"""),"45 ПРИДН")</f>
        <v>45 ПРИДН</v>
      </c>
      <c r="AG33" t="str">
        <f ca="1">IFERROR(__xludf.DUMMYFUNCTION("""COMPUTED_VALUE"""),"45640 ВЕРХОВЦЕВО")</f>
        <v>45640 ВЕРХОВЦЕВО</v>
      </c>
      <c r="AH33" t="str">
        <f ca="1">IFERROR(__xludf.DUMMYFUNCTION("""COMPUTED_VALUE"""),"30.01.21 14-30")</f>
        <v>30.01.21 14-30</v>
      </c>
      <c r="AI33" s="21">
        <f ca="1">IFERROR(__xludf.DUMMYFUNCTION("""COMPUTED_VALUE"""),44420.3576504629)</f>
        <v>44420.357650462902</v>
      </c>
    </row>
    <row r="34" spans="1:35" ht="15.75" customHeight="1" x14ac:dyDescent="0.15">
      <c r="A34">
        <f ca="1">IFERROR(__xludf.DUMMYFUNCTION("""COMPUTED_VALUE"""),87)</f>
        <v>87</v>
      </c>
      <c r="B34" t="str">
        <f ca="1">IFERROR(__xludf.DUMMYFUNCTION("""COMPUTED_VALUE"""),"Подольский цемент")</f>
        <v>Подольский цемент</v>
      </c>
      <c r="C34" t="str">
        <f ca="1">IFERROR(__xludf.DUMMYFUNCTION("""COMPUTED_VALUE"""),"НПП АРМЕТ")</f>
        <v>НПП АРМЕТ</v>
      </c>
      <c r="D34">
        <f ca="1">IFERROR(__xludf.DUMMYFUNCTION("""COMPUTED_VALUE"""),62784673)</f>
        <v>62784673</v>
      </c>
      <c r="E34" t="str">
        <f ca="1">IFERROR(__xludf.DUMMYFUNCTION("""COMPUTED_VALUE"""),"60 ПОЛУВАГОНЫ")</f>
        <v>60 ПОЛУВАГОНЫ</v>
      </c>
      <c r="F34">
        <f ca="1">IFERROR(__xludf.DUMMYFUNCTION("""COMPUTED_VALUE"""),24500)</f>
        <v>24500</v>
      </c>
      <c r="G34" t="str">
        <f ca="1">IFERROR(__xludf.DUMMYFUNCTION("""COMPUTED_VALUE"""),"КЛИНКЕР ЦЕМЕНТ")</f>
        <v>КЛИНКЕР ЦЕМЕНТ</v>
      </c>
      <c r="H34">
        <f ca="1">IFERROR(__xludf.DUMMYFUNCTION("""COMPUTED_VALUE"""),69)</f>
        <v>69</v>
      </c>
      <c r="I34">
        <f ca="1">IFERROR(__xludf.DUMMYFUNCTION("""COMPUTED_VALUE"""),1489)</f>
        <v>1489</v>
      </c>
      <c r="J34" t="str">
        <f ca="1">IFERROR(__xludf.DUMMYFUNCTION("""COMPUTED_VALUE"""),"9511 (33300-030-37780) ГУМЕНЦЫ - НИКОЛАЕВ-ДН")</f>
        <v>9511 (33300-030-37780) ГУМЕНЦЫ - НИКОЛАЕВ-ДН</v>
      </c>
      <c r="K34">
        <f ca="1">IFERROR(__xludf.DUMMYFUNCTION("""COMPUTED_VALUE"""),37780)</f>
        <v>37780</v>
      </c>
      <c r="L34" t="str">
        <f ca="1">IFERROR(__xludf.DUMMYFUNCTION("""COMPUTED_VALUE"""),"НИКОЛАЕВ-ДН")</f>
        <v>НИКОЛАЕВ-ДН</v>
      </c>
      <c r="M34" t="str">
        <f ca="1">IFERROR(__xludf.DUMMYFUNCTION("""COMPUTED_VALUE"""),"10.08.21 17-40")</f>
        <v>10.08.21 17-40</v>
      </c>
      <c r="N34" t="str">
        <f ca="1">IFERROR(__xludf.DUMMYFUNCTION("""COMPUTED_VALUE"""),"21 ВЫГ2")</f>
        <v>21 ВЫГ2</v>
      </c>
      <c r="O34">
        <f ca="1">IFERROR(__xludf.DUMMYFUNCTION("""COMPUTED_VALUE"""),37780)</f>
        <v>37780</v>
      </c>
      <c r="P34" t="str">
        <f ca="1">IFERROR(__xludf.DUMMYFUNCTION("""COMPUTED_VALUE"""),"НИКОЛАЕВ-ДН")</f>
        <v>НИКОЛАЕВ-ДН</v>
      </c>
      <c r="Q34">
        <f ca="1">IFERROR(__xludf.DUMMYFUNCTION("""COMPUTED_VALUE"""),33300)</f>
        <v>33300</v>
      </c>
      <c r="R34" t="str">
        <f ca="1">IFERROR(__xludf.DUMMYFUNCTION("""COMPUTED_VALUE"""),"ГУМЕНЦЫ")</f>
        <v>ГУМЕНЦЫ</v>
      </c>
      <c r="S34" t="str">
        <f ca="1">IFERROR(__xludf.DUMMYFUNCTION("""COMPUTED_VALUE"""),"09.08.21 09-20")</f>
        <v>09.08.21 09-20</v>
      </c>
      <c r="U34" t="str">
        <f ca="1">IFERROR(__xludf.DUMMYFUNCTION("""COMPUTED_VALUE"""),"23.02.2024 ДР")</f>
        <v>23.02.2024 ДР</v>
      </c>
      <c r="Z34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4" t="str">
        <f ca="1">IFERROR(__xludf.DUMMYFUNCTION("""COMPUTED_VALUE"""),"12-9763")</f>
        <v>12-9763</v>
      </c>
      <c r="AB34" t="str">
        <f ca="1">IFERROR(__xludf.DUMMYFUNCTION("""COMPUTED_VALUE"""),"45 ПРИДН")</f>
        <v>45 ПРИДН</v>
      </c>
      <c r="AC34" t="str">
        <f ca="1">IFERROR(__xludf.DUMMYFUNCTION("""COMPUTED_VALUE"""),"45640 ВЕРХОВЦЕВО")</f>
        <v>45640 ВЕРХОВЦЕВО</v>
      </c>
      <c r="AD34" t="str">
        <f ca="1">IFERROR(__xludf.DUMMYFUNCTION("""COMPUTED_VALUE"""),"30.01.21 03-30")</f>
        <v>30.01.21 03-30</v>
      </c>
      <c r="AE34" t="str">
        <f ca="1">IFERROR(__xludf.DUMMYFUNCTION("""COMPUTED_VALUE"""),"570 ИCТEК КAЛЕНДАРНЫЙ CPOК ДEПOВCКОГО PEМOНТA")</f>
        <v>570 ИCТEК КAЛЕНДАРНЫЙ CPOК ДEПOВCКОГО PEМOНТA</v>
      </c>
      <c r="AF34" t="str">
        <f ca="1">IFERROR(__xludf.DUMMYFUNCTION("""COMPUTED_VALUE"""),"45 ПРИДН")</f>
        <v>45 ПРИДН</v>
      </c>
      <c r="AG34" t="str">
        <f ca="1">IFERROR(__xludf.DUMMYFUNCTION("""COMPUTED_VALUE"""),"45640 ВЕРХОВЦЕВО")</f>
        <v>45640 ВЕРХОВЦЕВО</v>
      </c>
      <c r="AH34" t="str">
        <f ca="1">IFERROR(__xludf.DUMMYFUNCTION("""COMPUTED_VALUE"""),"23.02.21 15-40")</f>
        <v>23.02.21 15-40</v>
      </c>
      <c r="AI34" s="21">
        <f ca="1">IFERROR(__xludf.DUMMYFUNCTION("""COMPUTED_VALUE"""),44420.3576504629)</f>
        <v>44420.357650462902</v>
      </c>
    </row>
    <row r="35" spans="1:35" ht="15.75" customHeight="1" x14ac:dyDescent="0.15">
      <c r="A35">
        <f ca="1">IFERROR(__xludf.DUMMYFUNCTION("""COMPUTED_VALUE"""),88)</f>
        <v>88</v>
      </c>
      <c r="B35" t="str">
        <f ca="1">IFERROR(__xludf.DUMMYFUNCTION("""COMPUTED_VALUE"""),"Трансцентр")</f>
        <v>Трансцентр</v>
      </c>
      <c r="C35" t="str">
        <f ca="1">IFERROR(__xludf.DUMMYFUNCTION("""COMPUTED_VALUE"""),"НПП АРМЕТ")</f>
        <v>НПП АРМЕТ</v>
      </c>
      <c r="D35">
        <f ca="1">IFERROR(__xludf.DUMMYFUNCTION("""COMPUTED_VALUE"""),62784681)</f>
        <v>62784681</v>
      </c>
      <c r="E35" t="str">
        <f ca="1">IFERROR(__xludf.DUMMYFUNCTION("""COMPUTED_VALUE"""),"60 ПОЛУВАГОНЫ")</f>
        <v>60 ПОЛУВАГОНЫ</v>
      </c>
      <c r="F35">
        <f ca="1">IFERROR(__xludf.DUMMYFUNCTION("""COMPUTED_VALUE"""),42103)</f>
        <v>42103</v>
      </c>
      <c r="G35" t="str">
        <f ca="1">IFERROR(__xludf.DUMMYFUNCTION("""COMPUTED_VALUE"""),"ВАГОНЫ ЖД СВ")</f>
        <v>ВАГОНЫ ЖД СВ</v>
      </c>
      <c r="H35">
        <f ca="1">IFERROR(__xludf.DUMMYFUNCTION("""COMPUTED_VALUE"""),69)</f>
        <v>69</v>
      </c>
      <c r="I35">
        <f ca="1">IFERROR(__xludf.DUMMYFUNCTION("""COMPUTED_VALUE"""),4279)</f>
        <v>4279</v>
      </c>
      <c r="J35" t="str">
        <f ca="1">IFERROR(__xludf.DUMMYFUNCTION("""COMPUTED_VALUE"""),"3501 (34000-055-34850) ШЕПЕТОВКА - УШИЦА")</f>
        <v>3501 (34000-055-34850) ШЕПЕТОВКА - УШИЦА</v>
      </c>
      <c r="K35">
        <f ca="1">IFERROR(__xludf.DUMMYFUNCTION("""COMPUTED_VALUE"""),34000)</f>
        <v>34000</v>
      </c>
      <c r="L35" t="str">
        <f ca="1">IFERROR(__xludf.DUMMYFUNCTION("""COMPUTED_VALUE"""),"ШЕПЕТОВКА")</f>
        <v>ШЕПЕТОВКА</v>
      </c>
      <c r="M35" t="str">
        <f ca="1">IFERROR(__xludf.DUMMYFUNCTION("""COMPUTED_VALUE"""),"12.08.21 01-01")</f>
        <v>12.08.21 01-01</v>
      </c>
      <c r="N35" t="str">
        <f ca="1">IFERROR(__xludf.DUMMYFUNCTION("""COMPUTED_VALUE"""),"05 ФОРМ")</f>
        <v>05 ФОРМ</v>
      </c>
      <c r="O35">
        <f ca="1">IFERROR(__xludf.DUMMYFUNCTION("""COMPUTED_VALUE"""),34780)</f>
        <v>34780</v>
      </c>
      <c r="P35" t="str">
        <f ca="1">IFERROR(__xludf.DUMMYFUNCTION("""COMPUTED_VALUE"""),"МАЙДАН-ВИЛА")</f>
        <v>МАЙДАН-ВИЛА</v>
      </c>
      <c r="Q35">
        <f ca="1">IFERROR(__xludf.DUMMYFUNCTION("""COMPUTED_VALUE"""),34780)</f>
        <v>34780</v>
      </c>
      <c r="R35" t="str">
        <f ca="1">IFERROR(__xludf.DUMMYFUNCTION("""COMPUTED_VALUE"""),"МАЙДАН-ВИЛА")</f>
        <v>МАЙДАН-ВИЛА</v>
      </c>
      <c r="S35" t="str">
        <f ca="1">IFERROR(__xludf.DUMMYFUNCTION("""COMPUTED_VALUE"""),"29.07.21 13-10")</f>
        <v>29.07.21 13-10</v>
      </c>
      <c r="T35">
        <f ca="1">IFERROR(__xludf.DUMMYFUNCTION("""COMPUTED_VALUE"""),0)</f>
        <v>0</v>
      </c>
      <c r="U35" t="str">
        <f ca="1">IFERROR(__xludf.DUMMYFUNCTION("""COMPUTED_VALUE"""),"27.01.2024 ДР")</f>
        <v>27.01.2024 ДР</v>
      </c>
      <c r="Z35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5" t="str">
        <f ca="1">IFERROR(__xludf.DUMMYFUNCTION("""COMPUTED_VALUE"""),"12-9763")</f>
        <v>12-9763</v>
      </c>
      <c r="AB35" t="str">
        <f ca="1">IFERROR(__xludf.DUMMYFUNCTION("""COMPUTED_VALUE"""),"32 Ю-ЗАП")</f>
        <v>32 Ю-ЗАП</v>
      </c>
      <c r="AC35" t="str">
        <f ca="1">IFERROR(__xludf.DUMMYFUNCTION("""COMPUTED_VALUE"""),"34000 ШЕПЕТОВКА")</f>
        <v>34000 ШЕПЕТОВКА</v>
      </c>
      <c r="AD35" t="str">
        <f ca="1">IFERROR(__xludf.DUMMYFUNCTION("""COMPUTED_VALUE"""),"07.03.21 20-20")</f>
        <v>07.03.21 20-20</v>
      </c>
      <c r="AE35" t="str">
        <f ca="1">IFERROR(__xludf.DUMMYFUNCTION("""COMPUTED_VALUE"""),"503 OБPЫВ CВAPНOГO ШВA CТOЙКИ")</f>
        <v>503 OБPЫВ CВAPНOГO ШВA CТOЙКИ</v>
      </c>
      <c r="AF35" t="str">
        <f ca="1">IFERROR(__xludf.DUMMYFUNCTION("""COMPUTED_VALUE"""),"32 Ю-ЗАП")</f>
        <v>32 Ю-ЗАП</v>
      </c>
      <c r="AG35" t="str">
        <f ca="1">IFERROR(__xludf.DUMMYFUNCTION("""COMPUTED_VALUE"""),"34000 ШЕПЕТОВКА")</f>
        <v>34000 ШЕПЕТОВКА</v>
      </c>
      <c r="AH35" t="str">
        <f ca="1">IFERROR(__xludf.DUMMYFUNCTION("""COMPUTED_VALUE"""),"13.03.21 11-00")</f>
        <v>13.03.21 11-00</v>
      </c>
      <c r="AI35" s="21">
        <f ca="1">IFERROR(__xludf.DUMMYFUNCTION("""COMPUTED_VALUE"""),44420.3576504629)</f>
        <v>44420.357650462902</v>
      </c>
    </row>
    <row r="36" spans="1:35" ht="15.75" customHeight="1" x14ac:dyDescent="0.15">
      <c r="A36">
        <f ca="1">IFERROR(__xludf.DUMMYFUNCTION("""COMPUTED_VALUE"""),89)</f>
        <v>89</v>
      </c>
      <c r="B36" t="str">
        <f ca="1">IFERROR(__xludf.DUMMYFUNCTION("""COMPUTED_VALUE"""),"Трансцентр")</f>
        <v>Трансцентр</v>
      </c>
      <c r="C36" t="str">
        <f ca="1">IFERROR(__xludf.DUMMYFUNCTION("""COMPUTED_VALUE"""),"НПП АРМЕТ")</f>
        <v>НПП АРМЕТ</v>
      </c>
      <c r="D36">
        <f ca="1">IFERROR(__xludf.DUMMYFUNCTION("""COMPUTED_VALUE"""),62784715)</f>
        <v>62784715</v>
      </c>
      <c r="E36" t="str">
        <f ca="1">IFERROR(__xludf.DUMMYFUNCTION("""COMPUTED_VALUE"""),"60 ПОЛУВАГОНЫ")</f>
        <v>60 ПОЛУВАГОНЫ</v>
      </c>
      <c r="F36">
        <f ca="1">IFERROR(__xludf.DUMMYFUNCTION("""COMPUTED_VALUE"""),42103)</f>
        <v>42103</v>
      </c>
      <c r="G36" t="str">
        <f ca="1">IFERROR(__xludf.DUMMYFUNCTION("""COMPUTED_VALUE"""),"ВАГОНЫ ЖД СВ")</f>
        <v>ВАГОНЫ ЖД СВ</v>
      </c>
      <c r="H36">
        <f ca="1">IFERROR(__xludf.DUMMYFUNCTION("""COMPUTED_VALUE"""),69)</f>
        <v>69</v>
      </c>
      <c r="I36">
        <f ca="1">IFERROR(__xludf.DUMMYFUNCTION("""COMPUTED_VALUE"""),6302)</f>
        <v>6302</v>
      </c>
      <c r="J36" t="str">
        <f ca="1">IFERROR(__xludf.DUMMYFUNCTION("""COMPUTED_VALUE"""),"3040 (35400-038-35000) КОВЕЛЬ - ЗДОЛБУНОВ")</f>
        <v>3040 (35400-038-35000) КОВЕЛЬ - ЗДОЛБУНОВ</v>
      </c>
      <c r="K36">
        <f ca="1">IFERROR(__xludf.DUMMYFUNCTION("""COMPUTED_VALUE"""),34000)</f>
        <v>34000</v>
      </c>
      <c r="L36" t="str">
        <f ca="1">IFERROR(__xludf.DUMMYFUNCTION("""COMPUTED_VALUE"""),"ШЕПЕТОВКА")</f>
        <v>ШЕПЕТОВКА</v>
      </c>
      <c r="M36" t="str">
        <f ca="1">IFERROR(__xludf.DUMMYFUNCTION("""COMPUTED_VALUE"""),"12.08.21 01-20")</f>
        <v>12.08.21 01-20</v>
      </c>
      <c r="N36" t="str">
        <f ca="1">IFERROR(__xludf.DUMMYFUNCTION("""COMPUTED_VALUE"""),"84 ДОСЛ")</f>
        <v>84 ДОСЛ</v>
      </c>
      <c r="O36">
        <f ca="1">IFERROR(__xludf.DUMMYFUNCTION("""COMPUTED_VALUE"""),34780)</f>
        <v>34780</v>
      </c>
      <c r="P36" t="str">
        <f ca="1">IFERROR(__xludf.DUMMYFUNCTION("""COMPUTED_VALUE"""),"МАЙДАН-ВИЛА")</f>
        <v>МАЙДАН-ВИЛА</v>
      </c>
      <c r="Q36">
        <f ca="1">IFERROR(__xludf.DUMMYFUNCTION("""COMPUTED_VALUE"""),34780)</f>
        <v>34780</v>
      </c>
      <c r="R36" t="str">
        <f ca="1">IFERROR(__xludf.DUMMYFUNCTION("""COMPUTED_VALUE"""),"МАЙДАН-ВИЛА")</f>
        <v>МАЙДАН-ВИЛА</v>
      </c>
      <c r="S36" t="str">
        <f ca="1">IFERROR(__xludf.DUMMYFUNCTION("""COMPUTED_VALUE"""),"29.07.21 13-10")</f>
        <v>29.07.21 13-10</v>
      </c>
      <c r="T36">
        <f ca="1">IFERROR(__xludf.DUMMYFUNCTION("""COMPUTED_VALUE"""),0)</f>
        <v>0</v>
      </c>
      <c r="U36" t="str">
        <f ca="1">IFERROR(__xludf.DUMMYFUNCTION("""COMPUTED_VALUE"""),"31.01.2024 ДР")</f>
        <v>31.01.2024 ДР</v>
      </c>
      <c r="Z36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6" t="str">
        <f ca="1">IFERROR(__xludf.DUMMYFUNCTION("""COMPUTED_VALUE"""),"12-9763")</f>
        <v>12-9763</v>
      </c>
      <c r="AB36" t="str">
        <f ca="1">IFERROR(__xludf.DUMMYFUNCTION("""COMPUTED_VALUE"""),"32 Ю-ЗАП")</f>
        <v>32 Ю-ЗАП</v>
      </c>
      <c r="AC36" t="str">
        <f ca="1">IFERROR(__xludf.DUMMYFUNCTION("""COMPUTED_VALUE"""),"34000 ШЕПЕТОВКА")</f>
        <v>34000 ШЕПЕТОВКА</v>
      </c>
      <c r="AD36" t="str">
        <f ca="1">IFERROR(__xludf.DUMMYFUNCTION("""COMPUTED_VALUE"""),"07.03.21 20-20")</f>
        <v>07.03.21 20-20</v>
      </c>
      <c r="AE36" t="str">
        <f ca="1">IFERROR(__xludf.DUMMYFUNCTION("""COMPUTED_VALUE"""),"503 OБPЫВ CВAPНOГO ШВA CТOЙКИ")</f>
        <v>503 OБPЫВ CВAPНOГO ШВA CТOЙКИ</v>
      </c>
      <c r="AF36" t="str">
        <f ca="1">IFERROR(__xludf.DUMMYFUNCTION("""COMPUTED_VALUE"""),"32 Ю-ЗАП")</f>
        <v>32 Ю-ЗАП</v>
      </c>
      <c r="AG36" t="str">
        <f ca="1">IFERROR(__xludf.DUMMYFUNCTION("""COMPUTED_VALUE"""),"34000 ШЕПЕТОВКА")</f>
        <v>34000 ШЕПЕТОВКА</v>
      </c>
      <c r="AH36" t="str">
        <f ca="1">IFERROR(__xludf.DUMMYFUNCTION("""COMPUTED_VALUE"""),"13.03.21 11-00")</f>
        <v>13.03.21 11-00</v>
      </c>
      <c r="AI36" s="21">
        <f ca="1">IFERROR(__xludf.DUMMYFUNCTION("""COMPUTED_VALUE"""),44420.3576504629)</f>
        <v>44420.357650462902</v>
      </c>
    </row>
    <row r="37" spans="1:35" ht="15.75" customHeight="1" x14ac:dyDescent="0.15">
      <c r="A37">
        <f ca="1">IFERROR(__xludf.DUMMYFUNCTION("""COMPUTED_VALUE"""),90)</f>
        <v>90</v>
      </c>
      <c r="B37" t="str">
        <f ca="1">IFERROR(__xludf.DUMMYFUNCTION("""COMPUTED_VALUE"""),"Трансцентр")</f>
        <v>Трансцентр</v>
      </c>
      <c r="C37" t="str">
        <f ca="1">IFERROR(__xludf.DUMMYFUNCTION("""COMPUTED_VALUE"""),"НПП АРМЕТ")</f>
        <v>НПП АРМЕТ</v>
      </c>
      <c r="D37">
        <f ca="1">IFERROR(__xludf.DUMMYFUNCTION("""COMPUTED_VALUE"""),62784723)</f>
        <v>62784723</v>
      </c>
      <c r="E37" t="str">
        <f ca="1">IFERROR(__xludf.DUMMYFUNCTION("""COMPUTED_VALUE"""),"60 ПОЛУВАГОНЫ")</f>
        <v>60 ПОЛУВАГОНЫ</v>
      </c>
      <c r="F37">
        <f ca="1">IFERROR(__xludf.DUMMYFUNCTION("""COMPUTED_VALUE"""),42103)</f>
        <v>42103</v>
      </c>
      <c r="G37" t="str">
        <f ca="1">IFERROR(__xludf.DUMMYFUNCTION("""COMPUTED_VALUE"""),"ВАГОНЫ ЖД СВ")</f>
        <v>ВАГОНЫ ЖД СВ</v>
      </c>
      <c r="H37">
        <f ca="1">IFERROR(__xludf.DUMMYFUNCTION("""COMPUTED_VALUE"""),69)</f>
        <v>69</v>
      </c>
      <c r="I37">
        <f ca="1">IFERROR(__xludf.DUMMYFUNCTION("""COMPUTED_VALUE"""),6302)</f>
        <v>6302</v>
      </c>
      <c r="J37" t="str">
        <f ca="1">IFERROR(__xludf.DUMMYFUNCTION("""COMPUTED_VALUE"""),"3040 (35400-038-35000) КОВЕЛЬ - ЗДОЛБУНОВ")</f>
        <v>3040 (35400-038-35000) КОВЕЛЬ - ЗДОЛБУНОВ</v>
      </c>
      <c r="K37">
        <f ca="1">IFERROR(__xludf.DUMMYFUNCTION("""COMPUTED_VALUE"""),34000)</f>
        <v>34000</v>
      </c>
      <c r="L37" t="str">
        <f ca="1">IFERROR(__xludf.DUMMYFUNCTION("""COMPUTED_VALUE"""),"ШЕПЕТОВКА")</f>
        <v>ШЕПЕТОВКА</v>
      </c>
      <c r="M37" t="str">
        <f ca="1">IFERROR(__xludf.DUMMYFUNCTION("""COMPUTED_VALUE"""),"12.08.21 01-20")</f>
        <v>12.08.21 01-20</v>
      </c>
      <c r="N37" t="str">
        <f ca="1">IFERROR(__xludf.DUMMYFUNCTION("""COMPUTED_VALUE"""),"84 ДОСЛ")</f>
        <v>84 ДОСЛ</v>
      </c>
      <c r="O37">
        <f ca="1">IFERROR(__xludf.DUMMYFUNCTION("""COMPUTED_VALUE"""),34780)</f>
        <v>34780</v>
      </c>
      <c r="P37" t="str">
        <f ca="1">IFERROR(__xludf.DUMMYFUNCTION("""COMPUTED_VALUE"""),"МАЙДАН-ВИЛА")</f>
        <v>МАЙДАН-ВИЛА</v>
      </c>
      <c r="Q37">
        <f ca="1">IFERROR(__xludf.DUMMYFUNCTION("""COMPUTED_VALUE"""),34780)</f>
        <v>34780</v>
      </c>
      <c r="R37" t="str">
        <f ca="1">IFERROR(__xludf.DUMMYFUNCTION("""COMPUTED_VALUE"""),"МАЙДАН-ВИЛА")</f>
        <v>МАЙДАН-ВИЛА</v>
      </c>
      <c r="S37" t="str">
        <f ca="1">IFERROR(__xludf.DUMMYFUNCTION("""COMPUTED_VALUE"""),"29.07.21 13-10")</f>
        <v>29.07.21 13-10</v>
      </c>
      <c r="T37">
        <f ca="1">IFERROR(__xludf.DUMMYFUNCTION("""COMPUTED_VALUE"""),0)</f>
        <v>0</v>
      </c>
      <c r="U37" t="str">
        <f ca="1">IFERROR(__xludf.DUMMYFUNCTION("""COMPUTED_VALUE"""),"27.01.2024 ДР")</f>
        <v>27.01.2024 ДР</v>
      </c>
      <c r="Z37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7" t="str">
        <f ca="1">IFERROR(__xludf.DUMMYFUNCTION("""COMPUTED_VALUE"""),"12-9763")</f>
        <v>12-9763</v>
      </c>
      <c r="AB37" t="str">
        <f ca="1">IFERROR(__xludf.DUMMYFUNCTION("""COMPUTED_VALUE"""),"32 Ю-ЗАП")</f>
        <v>32 Ю-ЗАП</v>
      </c>
      <c r="AC37" t="str">
        <f ca="1">IFERROR(__xludf.DUMMYFUNCTION("""COMPUTED_VALUE"""),"34000 ШЕПЕТОВКА")</f>
        <v>34000 ШЕПЕТОВКА</v>
      </c>
      <c r="AD37" t="str">
        <f ca="1">IFERROR(__xludf.DUMMYFUNCTION("""COMPUTED_VALUE"""),"07.03.21 20-20")</f>
        <v>07.03.21 20-20</v>
      </c>
      <c r="AE37" t="str">
        <f ca="1">IFERROR(__xludf.DUMMYFUNCTION("""COMPUTED_VALUE"""),"540 НEИCПPAВНOCТЬ ЗAПOPA ЛЮКA")</f>
        <v>540 НEИCПPAВНOCТЬ ЗAПOPA ЛЮКA</v>
      </c>
      <c r="AF37" t="str">
        <f ca="1">IFERROR(__xludf.DUMMYFUNCTION("""COMPUTED_VALUE"""),"32 Ю-ЗАП")</f>
        <v>32 Ю-ЗАП</v>
      </c>
      <c r="AG37" t="str">
        <f ca="1">IFERROR(__xludf.DUMMYFUNCTION("""COMPUTED_VALUE"""),"34000 ШЕПЕТОВКА")</f>
        <v>34000 ШЕПЕТОВКА</v>
      </c>
      <c r="AH37" t="str">
        <f ca="1">IFERROR(__xludf.DUMMYFUNCTION("""COMPUTED_VALUE"""),"13.03.21 11-00")</f>
        <v>13.03.21 11-00</v>
      </c>
      <c r="AI37" s="21">
        <f ca="1">IFERROR(__xludf.DUMMYFUNCTION("""COMPUTED_VALUE"""),44420.3576504629)</f>
        <v>44420.357650462902</v>
      </c>
    </row>
    <row r="38" spans="1:35" ht="15.75" customHeight="1" x14ac:dyDescent="0.15">
      <c r="A38">
        <f ca="1">IFERROR(__xludf.DUMMYFUNCTION("""COMPUTED_VALUE"""),91)</f>
        <v>91</v>
      </c>
      <c r="B38" t="str">
        <f ca="1">IFERROR(__xludf.DUMMYFUNCTION("""COMPUTED_VALUE"""),"Техрейс")</f>
        <v>Техрейс</v>
      </c>
      <c r="C38" t="str">
        <f ca="1">IFERROR(__xludf.DUMMYFUNCTION("""COMPUTED_VALUE"""),"НПП АРМЕТ")</f>
        <v>НПП АРМЕТ</v>
      </c>
      <c r="D38">
        <f ca="1">IFERROR(__xludf.DUMMYFUNCTION("""COMPUTED_VALUE"""),62784731)</f>
        <v>62784731</v>
      </c>
      <c r="E38" t="str">
        <f ca="1">IFERROR(__xludf.DUMMYFUNCTION("""COMPUTED_VALUE"""),"60 ПОЛУВАГОНЫ")</f>
        <v>60 ПОЛУВАГОНЫ</v>
      </c>
      <c r="F38">
        <f ca="1">IFERROR(__xludf.DUMMYFUNCTION("""COMPUTED_VALUE"""),42103)</f>
        <v>42103</v>
      </c>
      <c r="G38" t="str">
        <f ca="1">IFERROR(__xludf.DUMMYFUNCTION("""COMPUTED_VALUE"""),"ВАГОНЫ ЖД СВ")</f>
        <v>ВАГОНЫ ЖД СВ</v>
      </c>
      <c r="H38">
        <f ca="1">IFERROR(__xludf.DUMMYFUNCTION("""COMPUTED_VALUE"""),70)</f>
        <v>70</v>
      </c>
      <c r="I38">
        <f ca="1">IFERROR(__xludf.DUMMYFUNCTION("""COMPUTED_VALUE"""),2931)</f>
        <v>2931</v>
      </c>
      <c r="J38" t="str">
        <f ca="1">IFERROR(__xludf.DUMMYFUNCTION("""COMPUTED_VALUE"""),"3202 (35130-011-35400) ЯГОДИН - КОВЕЛЬ")</f>
        <v>3202 (35130-011-35400) ЯГОДИН - КОВЕЛЬ</v>
      </c>
      <c r="K38">
        <f ca="1">IFERROR(__xludf.DUMMYFUNCTION("""COMPUTED_VALUE"""),35400)</f>
        <v>35400</v>
      </c>
      <c r="L38" t="str">
        <f ca="1">IFERROR(__xludf.DUMMYFUNCTION("""COMPUTED_VALUE"""),"КОВЕЛЬ")</f>
        <v>КОВЕЛЬ</v>
      </c>
      <c r="M38" t="str">
        <f ca="1">IFERROR(__xludf.DUMMYFUNCTION("""COMPUTED_VALUE"""),"12.08.21 06-21")</f>
        <v>12.08.21 06-21</v>
      </c>
      <c r="N38" t="str">
        <f ca="1">IFERROR(__xludf.DUMMYFUNCTION("""COMPUTED_VALUE"""),"72 ОТЦ")</f>
        <v>72 ОТЦ</v>
      </c>
      <c r="O38">
        <f ca="1">IFERROR(__xludf.DUMMYFUNCTION("""COMPUTED_VALUE"""),35670)</f>
        <v>35670</v>
      </c>
      <c r="P38" t="str">
        <f ca="1">IFERROR(__xludf.DUMMYFUNCTION("""COMPUTED_VALUE"""),"ЛЮБОМИРСК")</f>
        <v>ЛЮБОМИРСК</v>
      </c>
      <c r="Q38">
        <f ca="1">IFERROR(__xludf.DUMMYFUNCTION("""COMPUTED_VALUE"""),49480)</f>
        <v>49480</v>
      </c>
      <c r="R38" t="str">
        <f ca="1">IFERROR(__xludf.DUMMYFUNCTION("""COMPUTED_VALUE"""),"СОЛЬ")</f>
        <v>СОЛЬ</v>
      </c>
      <c r="S38" t="str">
        <f ca="1">IFERROR(__xludf.DUMMYFUNCTION("""COMPUTED_VALUE"""),"30.07.21 16-15")</f>
        <v>30.07.21 16-15</v>
      </c>
      <c r="T38">
        <f ca="1">IFERROR(__xludf.DUMMYFUNCTION("""COMPUTED_VALUE"""),0)</f>
        <v>0</v>
      </c>
      <c r="U38" t="str">
        <f ca="1">IFERROR(__xludf.DUMMYFUNCTION("""COMPUTED_VALUE"""),"08.02.2024 ДР")</f>
        <v>08.02.2024 ДР</v>
      </c>
      <c r="Z38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8" t="str">
        <f ca="1">IFERROR(__xludf.DUMMYFUNCTION("""COMPUTED_VALUE"""),"12-9763")</f>
        <v>12-9763</v>
      </c>
      <c r="AB38" t="str">
        <f ca="1">IFERROR(__xludf.DUMMYFUNCTION("""COMPUTED_VALUE"""),"45 ПРИДН")</f>
        <v>45 ПРИДН</v>
      </c>
      <c r="AC38" t="str">
        <f ca="1">IFERROR(__xludf.DUMMYFUNCTION("""COMPUTED_VALUE"""),"45640 ВЕРХОВЦЕВО")</f>
        <v>45640 ВЕРХОВЦЕВО</v>
      </c>
      <c r="AD38" t="str">
        <f ca="1">IFERROR(__xludf.DUMMYFUNCTION("""COMPUTED_VALUE"""),"02.02.21 00-40")</f>
        <v>02.02.21 00-40</v>
      </c>
      <c r="AE38" t="str">
        <f ca="1">IFERROR(__xludf.DUMMYFUNCTION("""COMPUTED_VALUE"""),"570 ИCТEК КAЛЕНДАРНЫЙ CPOК ДEПOВCКОГО PEМOНТA")</f>
        <v>570 ИCТEК КAЛЕНДАРНЫЙ CPOК ДEПOВCКОГО PEМOНТA</v>
      </c>
      <c r="AF38" t="str">
        <f ca="1">IFERROR(__xludf.DUMMYFUNCTION("""COMPUTED_VALUE"""),"45 ПРИДН")</f>
        <v>45 ПРИДН</v>
      </c>
      <c r="AG38" t="str">
        <f ca="1">IFERROR(__xludf.DUMMYFUNCTION("""COMPUTED_VALUE"""),"45640 ВЕРХОВЦЕВО")</f>
        <v>45640 ВЕРХОВЦЕВО</v>
      </c>
      <c r="AH38" t="str">
        <f ca="1">IFERROR(__xludf.DUMMYFUNCTION("""COMPUTED_VALUE"""),"08.02.21 14-20")</f>
        <v>08.02.21 14-20</v>
      </c>
      <c r="AI38" s="21">
        <f ca="1">IFERROR(__xludf.DUMMYFUNCTION("""COMPUTED_VALUE"""),44420.3576504629)</f>
        <v>44420.357650462902</v>
      </c>
    </row>
    <row r="39" spans="1:35" ht="15.75" customHeight="1" x14ac:dyDescent="0.15">
      <c r="A39">
        <f ca="1">IFERROR(__xludf.DUMMYFUNCTION("""COMPUTED_VALUE"""),92)</f>
        <v>92</v>
      </c>
      <c r="B39" t="str">
        <f ca="1">IFERROR(__xludf.DUMMYFUNCTION("""COMPUTED_VALUE"""),"Техрейс")</f>
        <v>Техрейс</v>
      </c>
      <c r="C39" t="str">
        <f ca="1">IFERROR(__xludf.DUMMYFUNCTION("""COMPUTED_VALUE"""),"НПП АРМЕТ")</f>
        <v>НПП АРМЕТ</v>
      </c>
      <c r="D39">
        <f ca="1">IFERROR(__xludf.DUMMYFUNCTION("""COMPUTED_VALUE"""),62784749)</f>
        <v>62784749</v>
      </c>
      <c r="E39" t="str">
        <f ca="1">IFERROR(__xludf.DUMMYFUNCTION("""COMPUTED_VALUE"""),"60 ПОЛУВАГОНЫ")</f>
        <v>60 ПОЛУВАГОНЫ</v>
      </c>
      <c r="F39">
        <f ca="1">IFERROR(__xludf.DUMMYFUNCTION("""COMPUTED_VALUE"""),14109)</f>
        <v>14109</v>
      </c>
      <c r="G39" t="str">
        <f ca="1">IFERROR(__xludf.DUMMYFUNCTION("""COMPUTED_VALUE"""),"ГЕМАТИТ")</f>
        <v>ГЕМАТИТ</v>
      </c>
      <c r="H39">
        <f ca="1">IFERROR(__xludf.DUMMYFUNCTION("""COMPUTED_VALUE"""),70)</f>
        <v>70</v>
      </c>
      <c r="I39">
        <f ca="1">IFERROR(__xludf.DUMMYFUNCTION("""COMPUTED_VALUE"""),5786)</f>
        <v>5786</v>
      </c>
      <c r="J39" t="str">
        <f ca="1">IFERROR(__xludf.DUMMYFUNCTION("""COMPUTED_VALUE"""),"3501 (46720-464-40060) КРИВОЙ РОГ - БЕРЕГОВАЯ-Э")</f>
        <v>3501 (46720-464-40060) КРИВОЙ РОГ - БЕРЕГОВАЯ-Э</v>
      </c>
      <c r="K39">
        <f ca="1">IFERROR(__xludf.DUMMYFUNCTION("""COMPUTED_VALUE"""),46720)</f>
        <v>46720</v>
      </c>
      <c r="L39" t="str">
        <f ca="1">IFERROR(__xludf.DUMMYFUNCTION("""COMPUTED_VALUE"""),"КРИВОЙ РОГ")</f>
        <v>КРИВОЙ РОГ</v>
      </c>
      <c r="M39" t="str">
        <f ca="1">IFERROR(__xludf.DUMMYFUNCTION("""COMPUTED_VALUE"""),"12.08.21 02-46")</f>
        <v>12.08.21 02-46</v>
      </c>
      <c r="N39" t="str">
        <f ca="1">IFERROR(__xludf.DUMMYFUNCTION("""COMPUTED_VALUE"""),"05 ФОРМ")</f>
        <v>05 ФОРМ</v>
      </c>
      <c r="O39">
        <f ca="1">IFERROR(__xludf.DUMMYFUNCTION("""COMPUTED_VALUE"""),40060)</f>
        <v>40060</v>
      </c>
      <c r="P39" t="str">
        <f ca="1">IFERROR(__xludf.DUMMYFUNCTION("""COMPUTED_VALUE"""),"БЕРЕГОВАЯ-Э")</f>
        <v>БЕРЕГОВАЯ-Э</v>
      </c>
      <c r="Q39">
        <f ca="1">IFERROR(__xludf.DUMMYFUNCTION("""COMPUTED_VALUE"""),46720)</f>
        <v>46720</v>
      </c>
      <c r="R39" t="str">
        <f ca="1">IFERROR(__xludf.DUMMYFUNCTION("""COMPUTED_VALUE"""),"КРИВОЙ РОГ")</f>
        <v>КРИВОЙ РОГ</v>
      </c>
      <c r="S39" t="str">
        <f ca="1">IFERROR(__xludf.DUMMYFUNCTION("""COMPUTED_VALUE"""),"12.08.21 02-30")</f>
        <v>12.08.21 02-30</v>
      </c>
      <c r="T39">
        <f ca="1">IFERROR(__xludf.DUMMYFUNCTION("""COMPUTED_VALUE"""),5343)</f>
        <v>5343</v>
      </c>
      <c r="U39" t="str">
        <f ca="1">IFERROR(__xludf.DUMMYFUNCTION("""COMPUTED_VALUE"""),"29.01.2024 ДР")</f>
        <v>29.01.2024 ДР</v>
      </c>
      <c r="Z39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39" t="str">
        <f ca="1">IFERROR(__xludf.DUMMYFUNCTION("""COMPUTED_VALUE"""),"12-9763")</f>
        <v>12-9763</v>
      </c>
      <c r="AB39" t="str">
        <f ca="1">IFERROR(__xludf.DUMMYFUNCTION("""COMPUTED_VALUE"""),"45 ПРИДН")</f>
        <v>45 ПРИДН</v>
      </c>
      <c r="AC39" t="str">
        <f ca="1">IFERROR(__xludf.DUMMYFUNCTION("""COMPUTED_VALUE"""),"45640 ВЕРХОВЦЕВО")</f>
        <v>45640 ВЕРХОВЦЕВО</v>
      </c>
      <c r="AD39" t="str">
        <f ca="1">IFERROR(__xludf.DUMMYFUNCTION("""COMPUTED_VALUE"""),"25.01.21 11-50")</f>
        <v>25.01.21 11-50</v>
      </c>
      <c r="AE39" t="str">
        <f ca="1">IFERROR(__xludf.DUMMYFUNCTION("""COMPUTED_VALUE"""),"570 ИCТEК КAЛЕНДАРНЫЙ CPOК ДEПOВCКОГО PEМOНТA")</f>
        <v>570 ИCТEК КAЛЕНДАРНЫЙ CPOК ДEПOВCКОГО PEМOНТA</v>
      </c>
      <c r="AF39" t="str">
        <f ca="1">IFERROR(__xludf.DUMMYFUNCTION("""COMPUTED_VALUE"""),"45 ПРИДН")</f>
        <v>45 ПРИДН</v>
      </c>
      <c r="AG39" t="str">
        <f ca="1">IFERROR(__xludf.DUMMYFUNCTION("""COMPUTED_VALUE"""),"45640 ВЕРХОВЦЕВО")</f>
        <v>45640 ВЕРХОВЦЕВО</v>
      </c>
      <c r="AH39" t="str">
        <f ca="1">IFERROR(__xludf.DUMMYFUNCTION("""COMPUTED_VALUE"""),"29.01.21 15-20")</f>
        <v>29.01.21 15-20</v>
      </c>
      <c r="AI39" s="21">
        <f ca="1">IFERROR(__xludf.DUMMYFUNCTION("""COMPUTED_VALUE"""),44420.3576504629)</f>
        <v>44420.357650462902</v>
      </c>
    </row>
    <row r="40" spans="1:35" ht="15.75" customHeight="1" x14ac:dyDescent="0.15">
      <c r="A40">
        <f ca="1">IFERROR(__xludf.DUMMYFUNCTION("""COMPUTED_VALUE"""),93)</f>
        <v>93</v>
      </c>
      <c r="B40" t="str">
        <f ca="1">IFERROR(__xludf.DUMMYFUNCTION("""COMPUTED_VALUE"""),"Техрейс")</f>
        <v>Техрейс</v>
      </c>
      <c r="C40" t="str">
        <f ca="1">IFERROR(__xludf.DUMMYFUNCTION("""COMPUTED_VALUE"""),"НПП АРМЕТ")</f>
        <v>НПП АРМЕТ</v>
      </c>
      <c r="D40">
        <f ca="1">IFERROR(__xludf.DUMMYFUNCTION("""COMPUTED_VALUE"""),62784756)</f>
        <v>62784756</v>
      </c>
      <c r="E40" t="str">
        <f ca="1">IFERROR(__xludf.DUMMYFUNCTION("""COMPUTED_VALUE"""),"60 ПОЛУВАГОНЫ")</f>
        <v>60 ПОЛУВАГОНЫ</v>
      </c>
      <c r="F40">
        <f ca="1">IFERROR(__xludf.DUMMYFUNCTION("""COMPUTED_VALUE"""),42103)</f>
        <v>42103</v>
      </c>
      <c r="G40" t="str">
        <f ca="1">IFERROR(__xludf.DUMMYFUNCTION("""COMPUTED_VALUE"""),"ВАГОНЫ ЖД СВ")</f>
        <v>ВАГОНЫ ЖД СВ</v>
      </c>
      <c r="H40">
        <f ca="1">IFERROR(__xludf.DUMMYFUNCTION("""COMPUTED_VALUE"""),0)</f>
        <v>0</v>
      </c>
      <c r="I40">
        <f ca="1">IFERROR(__xludf.DUMMYFUNCTION("""COMPUTED_VALUE"""),4307)</f>
        <v>4307</v>
      </c>
      <c r="J40" t="str">
        <f ca="1">IFERROR(__xludf.DUMMYFUNCTION("""COMPUTED_VALUE"""),"3636 (40050-040-40000) БЕРЕГОВАЯ - ОДЕССА-СОРТ")</f>
        <v>3636 (40050-040-40000) БЕРЕГОВАЯ - ОДЕССА-СОРТ</v>
      </c>
      <c r="K40">
        <f ca="1">IFERROR(__xludf.DUMMYFUNCTION("""COMPUTED_VALUE"""),40110)</f>
        <v>40110</v>
      </c>
      <c r="L40" t="str">
        <f ca="1">IFERROR(__xludf.DUMMYFUNCTION("""COMPUTED_VALUE"""),"ЧЕРНОМОРСКАЯ")</f>
        <v>ЧЕРНОМОРСКАЯ</v>
      </c>
      <c r="M40" t="str">
        <f ca="1">IFERROR(__xludf.DUMMYFUNCTION("""COMPUTED_VALUE"""),"11.08.21 06-52")</f>
        <v>11.08.21 06-52</v>
      </c>
      <c r="N40" t="str">
        <f ca="1">IFERROR(__xludf.DUMMYFUNCTION("""COMPUTED_VALUE"""),"85 ПРСТ")</f>
        <v>85 ПРСТ</v>
      </c>
      <c r="O40">
        <f ca="1">IFERROR(__xludf.DUMMYFUNCTION("""COMPUTED_VALUE"""),40200)</f>
        <v>40200</v>
      </c>
      <c r="P40" t="str">
        <f ca="1">IFERROR(__xludf.DUMMYFUNCTION("""COMPUTED_VALUE"""),"ЧЕРНОМОРСК-П")</f>
        <v>ЧЕРНОМОРСК-П</v>
      </c>
      <c r="Q40">
        <f ca="1">IFERROR(__xludf.DUMMYFUNCTION("""COMPUTED_VALUE"""),40050)</f>
        <v>40050</v>
      </c>
      <c r="R40" t="str">
        <f ca="1">IFERROR(__xludf.DUMMYFUNCTION("""COMPUTED_VALUE"""),"БЕРЕГОВАЯ")</f>
        <v>БЕРЕГОВАЯ</v>
      </c>
      <c r="S40" t="str">
        <f ca="1">IFERROR(__xludf.DUMMYFUNCTION("""COMPUTED_VALUE"""),"08.08.21 13-45")</f>
        <v>08.08.21 13-45</v>
      </c>
      <c r="T40">
        <f ca="1">IFERROR(__xludf.DUMMYFUNCTION("""COMPUTED_VALUE"""),8200)</f>
        <v>8200</v>
      </c>
      <c r="U40" t="str">
        <f ca="1">IFERROR(__xludf.DUMMYFUNCTION("""COMPUTED_VALUE"""),"21.02.2024 ДР")</f>
        <v>21.02.2024 ДР</v>
      </c>
      <c r="Z40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0" t="str">
        <f ca="1">IFERROR(__xludf.DUMMYFUNCTION("""COMPUTED_VALUE"""),"12-9763")</f>
        <v>12-9763</v>
      </c>
      <c r="AB40" t="str">
        <f ca="1">IFERROR(__xludf.DUMMYFUNCTION("""COMPUTED_VALUE"""),"45 ПРИДН")</f>
        <v>45 ПРИДН</v>
      </c>
      <c r="AC40" t="str">
        <f ca="1">IFERROR(__xludf.DUMMYFUNCTION("""COMPUTED_VALUE"""),"45640 ВЕРХОВЦЕВО")</f>
        <v>45640 ВЕРХОВЦЕВО</v>
      </c>
      <c r="AD40" t="str">
        <f ca="1">IFERROR(__xludf.DUMMYFUNCTION("""COMPUTED_VALUE"""),"02.02.21 00-40")</f>
        <v>02.02.21 00-40</v>
      </c>
      <c r="AE40" t="str">
        <f ca="1">IFERROR(__xludf.DUMMYFUNCTION("""COMPUTED_VALUE"""),"570 ИCТEК КAЛЕНДАРНЫЙ CPOК ДEПOВCКОГО PEМOНТA")</f>
        <v>570 ИCТEК КAЛЕНДАРНЫЙ CPOК ДEПOВCКОГО PEМOНТA</v>
      </c>
      <c r="AF40" t="str">
        <f ca="1">IFERROR(__xludf.DUMMYFUNCTION("""COMPUTED_VALUE"""),"45 ПРИДН")</f>
        <v>45 ПРИДН</v>
      </c>
      <c r="AG40" t="str">
        <f ca="1">IFERROR(__xludf.DUMMYFUNCTION("""COMPUTED_VALUE"""),"45640 ВЕРХОВЦЕВО")</f>
        <v>45640 ВЕРХОВЦЕВО</v>
      </c>
      <c r="AH40" t="str">
        <f ca="1">IFERROR(__xludf.DUMMYFUNCTION("""COMPUTED_VALUE"""),"21.02.21 14-30")</f>
        <v>21.02.21 14-30</v>
      </c>
      <c r="AI40" s="21">
        <f ca="1">IFERROR(__xludf.DUMMYFUNCTION("""COMPUTED_VALUE"""),44420.3576504629)</f>
        <v>44420.357650462902</v>
      </c>
    </row>
    <row r="41" spans="1:35" ht="15.75" customHeight="1" x14ac:dyDescent="0.15">
      <c r="A41">
        <f ca="1">IFERROR(__xludf.DUMMYFUNCTION("""COMPUTED_VALUE"""),94)</f>
        <v>94</v>
      </c>
      <c r="B41" t="str">
        <f ca="1">IFERROR(__xludf.DUMMYFUNCTION("""COMPUTED_VALUE"""),"Техрейс")</f>
        <v>Техрейс</v>
      </c>
      <c r="C41" t="str">
        <f ca="1">IFERROR(__xludf.DUMMYFUNCTION("""COMPUTED_VALUE"""),"НПП АРМЕТ")</f>
        <v>НПП АРМЕТ</v>
      </c>
      <c r="D41">
        <f ca="1">IFERROR(__xludf.DUMMYFUNCTION("""COMPUTED_VALUE"""),62784764)</f>
        <v>62784764</v>
      </c>
      <c r="E41" t="str">
        <f ca="1">IFERROR(__xludf.DUMMYFUNCTION("""COMPUTED_VALUE"""),"60 ПОЛУВАГОНЫ")</f>
        <v>60 ПОЛУВАГОНЫ</v>
      </c>
      <c r="F41">
        <f ca="1">IFERROR(__xludf.DUMMYFUNCTION("""COMPUTED_VALUE"""),42103)</f>
        <v>42103</v>
      </c>
      <c r="G41" t="str">
        <f ca="1">IFERROR(__xludf.DUMMYFUNCTION("""COMPUTED_VALUE"""),"ВАГОНЫ ЖД СВ")</f>
        <v>ВАГОНЫ ЖД СВ</v>
      </c>
      <c r="H41">
        <f ca="1">IFERROR(__xludf.DUMMYFUNCTION("""COMPUTED_VALUE"""),0)</f>
        <v>0</v>
      </c>
      <c r="I41">
        <f ca="1">IFERROR(__xludf.DUMMYFUNCTION("""COMPUTED_VALUE"""),4307)</f>
        <v>4307</v>
      </c>
      <c r="J41" t="str">
        <f ca="1">IFERROR(__xludf.DUMMYFUNCTION("""COMPUTED_VALUE"""),"3001 (40110-067-40000) ЧЕРНОМОРСКАЯ - ОДЕССА-СОРТ")</f>
        <v>3001 (40110-067-40000) ЧЕРНОМОРСКАЯ - ОДЕССА-СОРТ</v>
      </c>
      <c r="K41">
        <f ca="1">IFERROR(__xludf.DUMMYFUNCTION("""COMPUTED_VALUE"""),40100)</f>
        <v>40100</v>
      </c>
      <c r="L41" t="str">
        <f ca="1">IFERROR(__xludf.DUMMYFUNCTION("""COMPUTED_VALUE"""),"КРЕМИДОВКА")</f>
        <v>КРЕМИДОВКА</v>
      </c>
      <c r="M41" t="str">
        <f ca="1">IFERROR(__xludf.DUMMYFUNCTION("""COMPUTED_VALUE"""),"11.08.21 04-21")</f>
        <v>11.08.21 04-21</v>
      </c>
      <c r="N41" t="str">
        <f ca="1">IFERROR(__xludf.DUMMYFUNCTION("""COMPUTED_VALUE"""),"01 ПРИБ")</f>
        <v>01 ПРИБ</v>
      </c>
      <c r="O41">
        <f ca="1">IFERROR(__xludf.DUMMYFUNCTION("""COMPUTED_VALUE"""),40200)</f>
        <v>40200</v>
      </c>
      <c r="P41" t="str">
        <f ca="1">IFERROR(__xludf.DUMMYFUNCTION("""COMPUTED_VALUE"""),"ЧЕРНОМОРСК-П")</f>
        <v>ЧЕРНОМОРСК-П</v>
      </c>
      <c r="Q41">
        <f ca="1">IFERROR(__xludf.DUMMYFUNCTION("""COMPUTED_VALUE"""),40050)</f>
        <v>40050</v>
      </c>
      <c r="R41" t="str">
        <f ca="1">IFERROR(__xludf.DUMMYFUNCTION("""COMPUTED_VALUE"""),"БЕРЕГОВАЯ")</f>
        <v>БЕРЕГОВАЯ</v>
      </c>
      <c r="S41" t="str">
        <f ca="1">IFERROR(__xludf.DUMMYFUNCTION("""COMPUTED_VALUE"""),"07.08.21 07-10")</f>
        <v>07.08.21 07-10</v>
      </c>
      <c r="T41">
        <f ca="1">IFERROR(__xludf.DUMMYFUNCTION("""COMPUTED_VALUE"""),8200)</f>
        <v>8200</v>
      </c>
      <c r="U41" t="str">
        <f ca="1">IFERROR(__xludf.DUMMYFUNCTION("""COMPUTED_VALUE"""),"18.02.2024 ДР")</f>
        <v>18.02.2024 ДР</v>
      </c>
      <c r="Z41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1" t="str">
        <f ca="1">IFERROR(__xludf.DUMMYFUNCTION("""COMPUTED_VALUE"""),"12-9763")</f>
        <v>12-9763</v>
      </c>
      <c r="AB41" t="str">
        <f ca="1">IFERROR(__xludf.DUMMYFUNCTION("""COMPUTED_VALUE"""),"45 ПРИДН")</f>
        <v>45 ПРИДН</v>
      </c>
      <c r="AC41" t="str">
        <f ca="1">IFERROR(__xludf.DUMMYFUNCTION("""COMPUTED_VALUE"""),"45640 ВЕРХОВЦЕВО")</f>
        <v>45640 ВЕРХОВЦЕВО</v>
      </c>
      <c r="AD41" t="str">
        <f ca="1">IFERROR(__xludf.DUMMYFUNCTION("""COMPUTED_VALUE"""),"04.02.21 23-05")</f>
        <v>04.02.21 23-05</v>
      </c>
      <c r="AE41" t="str">
        <f ca="1">IFERROR(__xludf.DUMMYFUNCTION("""COMPUTED_VALUE"""),"570 ИCТEК КAЛЕНДАРНЫЙ CPOК ДEПOВCКОГО PEМOНТA")</f>
        <v>570 ИCТEК КAЛЕНДАРНЫЙ CPOК ДEПOВCКОГО PEМOНТA</v>
      </c>
      <c r="AF41" t="str">
        <f ca="1">IFERROR(__xludf.DUMMYFUNCTION("""COMPUTED_VALUE"""),"45 ПРИДН")</f>
        <v>45 ПРИДН</v>
      </c>
      <c r="AG41" t="str">
        <f ca="1">IFERROR(__xludf.DUMMYFUNCTION("""COMPUTED_VALUE"""),"45640 ВЕРХОВЦЕВО")</f>
        <v>45640 ВЕРХОВЦЕВО</v>
      </c>
      <c r="AH41" t="str">
        <f ca="1">IFERROR(__xludf.DUMMYFUNCTION("""COMPUTED_VALUE"""),"18.02.21 14-00")</f>
        <v>18.02.21 14-00</v>
      </c>
      <c r="AI41" s="21">
        <f ca="1">IFERROR(__xludf.DUMMYFUNCTION("""COMPUTED_VALUE"""),44420.3576504629)</f>
        <v>44420.357650462902</v>
      </c>
    </row>
    <row r="42" spans="1:35" ht="15.75" customHeight="1" x14ac:dyDescent="0.15">
      <c r="A42">
        <f ca="1">IFERROR(__xludf.DUMMYFUNCTION("""COMPUTED_VALUE"""),95)</f>
        <v>95</v>
      </c>
      <c r="B42" t="str">
        <f ca="1">IFERROR(__xludf.DUMMYFUNCTION("""COMPUTED_VALUE"""),"Техрейс")</f>
        <v>Техрейс</v>
      </c>
      <c r="C42" t="str">
        <f ca="1">IFERROR(__xludf.DUMMYFUNCTION("""COMPUTED_VALUE"""),"НПП АРМЕТ")</f>
        <v>НПП АРМЕТ</v>
      </c>
      <c r="D42">
        <f ca="1">IFERROR(__xludf.DUMMYFUNCTION("""COMPUTED_VALUE"""),62784772)</f>
        <v>62784772</v>
      </c>
      <c r="E42" t="str">
        <f ca="1">IFERROR(__xludf.DUMMYFUNCTION("""COMPUTED_VALUE"""),"60 ПОЛУВАГОНЫ")</f>
        <v>60 ПОЛУВАГОНЫ</v>
      </c>
      <c r="F42">
        <f ca="1">IFERROR(__xludf.DUMMYFUNCTION("""COMPUTED_VALUE"""),24132)</f>
        <v>24132</v>
      </c>
      <c r="G42" t="str">
        <f ca="1">IFERROR(__xludf.DUMMYFUNCTION("""COMPUTED_VALUE"""),"КАМЕНЬ ГИПСОВ")</f>
        <v>КАМЕНЬ ГИПСОВ</v>
      </c>
      <c r="H42">
        <f ca="1">IFERROR(__xludf.DUMMYFUNCTION("""COMPUTED_VALUE"""),70)</f>
        <v>70</v>
      </c>
      <c r="I42">
        <f ca="1">IFERROR(__xludf.DUMMYFUNCTION("""COMPUTED_VALUE"""),3865)</f>
        <v>3865</v>
      </c>
      <c r="J42" t="str">
        <f ca="1">IFERROR(__xludf.DUMMYFUNCTION("""COMPUTED_VALUE"""),"9507 (49000-770-41510) ЛИМАН - НИКОЛАЕВ")</f>
        <v>9507 (49000-770-41510) ЛИМАН - НИКОЛАЕВ</v>
      </c>
      <c r="K42">
        <f ca="1">IFERROR(__xludf.DUMMYFUNCTION("""COMPUTED_VALUE"""),45000)</f>
        <v>45000</v>
      </c>
      <c r="L42" t="str">
        <f ca="1">IFERROR(__xludf.DUMMYFUNCTION("""COMPUTED_VALUE"""),"НИЖНЕДН-УЗЕЛ")</f>
        <v>НИЖНЕДН-УЗЕЛ</v>
      </c>
      <c r="M42" t="str">
        <f ca="1">IFERROR(__xludf.DUMMYFUNCTION("""COMPUTED_VALUE"""),"12.08.21 08-15")</f>
        <v>12.08.21 08-15</v>
      </c>
      <c r="N42" t="str">
        <f ca="1">IFERROR(__xludf.DUMMYFUNCTION("""COMPUTED_VALUE"""),"51 ПРИБ")</f>
        <v>51 ПРИБ</v>
      </c>
      <c r="O42">
        <f ca="1">IFERROR(__xludf.DUMMYFUNCTION("""COMPUTED_VALUE"""),41780)</f>
        <v>41780</v>
      </c>
      <c r="P42" t="str">
        <f ca="1">IFERROR(__xludf.DUMMYFUNCTION("""COMPUTED_VALUE"""),"ХЕРСОН")</f>
        <v>ХЕРСОН</v>
      </c>
      <c r="Q42">
        <f ca="1">IFERROR(__xludf.DUMMYFUNCTION("""COMPUTED_VALUE"""),49480)</f>
        <v>49480</v>
      </c>
      <c r="R42" t="str">
        <f ca="1">IFERROR(__xludf.DUMMYFUNCTION("""COMPUTED_VALUE"""),"СОЛЬ")</f>
        <v>СОЛЬ</v>
      </c>
      <c r="S42" t="str">
        <f ca="1">IFERROR(__xludf.DUMMYFUNCTION("""COMPUTED_VALUE"""),"10.08.21 02-25")</f>
        <v>10.08.21 02-25</v>
      </c>
      <c r="T42">
        <f ca="1">IFERROR(__xludf.DUMMYFUNCTION("""COMPUTED_VALUE"""),5377)</f>
        <v>5377</v>
      </c>
      <c r="U42" t="str">
        <f ca="1">IFERROR(__xludf.DUMMYFUNCTION("""COMPUTED_VALUE"""),"11.02.2024 ДР")</f>
        <v>11.02.2024 ДР</v>
      </c>
      <c r="Z42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2" t="str">
        <f ca="1">IFERROR(__xludf.DUMMYFUNCTION("""COMPUTED_VALUE"""),"12-9763")</f>
        <v>12-9763</v>
      </c>
      <c r="AB42" t="str">
        <f ca="1">IFERROR(__xludf.DUMMYFUNCTION("""COMPUTED_VALUE"""),"45 ПРИДН")</f>
        <v>45 ПРИДН</v>
      </c>
      <c r="AC42" t="str">
        <f ca="1">IFERROR(__xludf.DUMMYFUNCTION("""COMPUTED_VALUE"""),"45640 ВЕРХОВЦЕВО")</f>
        <v>45640 ВЕРХОВЦЕВО</v>
      </c>
      <c r="AD42" t="str">
        <f ca="1">IFERROR(__xludf.DUMMYFUNCTION("""COMPUTED_VALUE"""),"09.02.21 21-35")</f>
        <v>09.02.21 21-35</v>
      </c>
      <c r="AE42" t="str">
        <f ca="1">IFERROR(__xludf.DUMMYFUNCTION("""COMPUTED_VALUE"""),"570 ИCТEК КAЛЕНДАРНЫЙ CPOК ДEПOВCКОГО PEМOНТA")</f>
        <v>570 ИCТEК КAЛЕНДАРНЫЙ CPOК ДEПOВCКОГО PEМOНТA</v>
      </c>
      <c r="AF42" t="str">
        <f ca="1">IFERROR(__xludf.DUMMYFUNCTION("""COMPUTED_VALUE"""),"45 ПРИДН")</f>
        <v>45 ПРИДН</v>
      </c>
      <c r="AG42" t="str">
        <f ca="1">IFERROR(__xludf.DUMMYFUNCTION("""COMPUTED_VALUE"""),"45640 ВЕРХОВЦЕВО")</f>
        <v>45640 ВЕРХОВЦЕВО</v>
      </c>
      <c r="AH42" t="str">
        <f ca="1">IFERROR(__xludf.DUMMYFUNCTION("""COMPUTED_VALUE"""),"11.02.21 14-50")</f>
        <v>11.02.21 14-50</v>
      </c>
      <c r="AI42" s="21">
        <f ca="1">IFERROR(__xludf.DUMMYFUNCTION("""COMPUTED_VALUE"""),44420.3576504629)</f>
        <v>44420.357650462902</v>
      </c>
    </row>
    <row r="43" spans="1:35" ht="15.75" customHeight="1" x14ac:dyDescent="0.15">
      <c r="A43">
        <f ca="1">IFERROR(__xludf.DUMMYFUNCTION("""COMPUTED_VALUE"""),96)</f>
        <v>96</v>
      </c>
      <c r="B43" t="str">
        <f ca="1">IFERROR(__xludf.DUMMYFUNCTION("""COMPUTED_VALUE"""),"Техрейс")</f>
        <v>Техрейс</v>
      </c>
      <c r="C43" t="str">
        <f ca="1">IFERROR(__xludf.DUMMYFUNCTION("""COMPUTED_VALUE"""),"НПП АРМЕТ")</f>
        <v>НПП АРМЕТ</v>
      </c>
      <c r="D43">
        <f ca="1">IFERROR(__xludf.DUMMYFUNCTION("""COMPUTED_VALUE"""),62784780)</f>
        <v>62784780</v>
      </c>
      <c r="E43" t="str">
        <f ca="1">IFERROR(__xludf.DUMMYFUNCTION("""COMPUTED_VALUE"""),"60 ПОЛУВАГОНЫ")</f>
        <v>60 ПОЛУВАГОНЫ</v>
      </c>
      <c r="F43">
        <f ca="1">IFERROR(__xludf.DUMMYFUNCTION("""COMPUTED_VALUE"""),42103)</f>
        <v>42103</v>
      </c>
      <c r="G43" t="str">
        <f ca="1">IFERROR(__xludf.DUMMYFUNCTION("""COMPUTED_VALUE"""),"ВАГОНЫ ЖД СВ")</f>
        <v>ВАГОНЫ ЖД СВ</v>
      </c>
      <c r="H43">
        <f ca="1">IFERROR(__xludf.DUMMYFUNCTION("""COMPUTED_VALUE"""),0)</f>
        <v>0</v>
      </c>
      <c r="I43">
        <f ca="1">IFERROR(__xludf.DUMMYFUNCTION("""COMPUTED_VALUE"""),4307)</f>
        <v>4307</v>
      </c>
      <c r="J43" t="str">
        <f ca="1">IFERROR(__xludf.DUMMYFUNCTION("""COMPUTED_VALUE"""),"3001 (40110-077-40000) ЧЕРНОМОРСКАЯ - ОДЕССА-СОРТ")</f>
        <v>3001 (40110-077-40000) ЧЕРНОМОРСКАЯ - ОДЕССА-СОРТ</v>
      </c>
      <c r="K43">
        <f ca="1">IFERROR(__xludf.DUMMYFUNCTION("""COMPUTED_VALUE"""),40110)</f>
        <v>40110</v>
      </c>
      <c r="L43" t="str">
        <f ca="1">IFERROR(__xludf.DUMMYFUNCTION("""COMPUTED_VALUE"""),"ЧЕРНОМОРСКАЯ")</f>
        <v>ЧЕРНОМОРСКАЯ</v>
      </c>
      <c r="M43" t="str">
        <f ca="1">IFERROR(__xludf.DUMMYFUNCTION("""COMPUTED_VALUE"""),"11.08.21 11-10")</f>
        <v>11.08.21 11-10</v>
      </c>
      <c r="N43" t="str">
        <f ca="1">IFERROR(__xludf.DUMMYFUNCTION("""COMPUTED_VALUE"""),"05 ФОРМ")</f>
        <v>05 ФОРМ</v>
      </c>
      <c r="O43">
        <f ca="1">IFERROR(__xludf.DUMMYFUNCTION("""COMPUTED_VALUE"""),40200)</f>
        <v>40200</v>
      </c>
      <c r="P43" t="str">
        <f ca="1">IFERROR(__xludf.DUMMYFUNCTION("""COMPUTED_VALUE"""),"ЧЕРНОМОРСК-П")</f>
        <v>ЧЕРНОМОРСК-П</v>
      </c>
      <c r="Q43">
        <f ca="1">IFERROR(__xludf.DUMMYFUNCTION("""COMPUTED_VALUE"""),40050)</f>
        <v>40050</v>
      </c>
      <c r="R43" t="str">
        <f ca="1">IFERROR(__xludf.DUMMYFUNCTION("""COMPUTED_VALUE"""),"БЕРЕГОВАЯ")</f>
        <v>БЕРЕГОВАЯ</v>
      </c>
      <c r="S43" t="str">
        <f ca="1">IFERROR(__xludf.DUMMYFUNCTION("""COMPUTED_VALUE"""),"08.08.21 13-45")</f>
        <v>08.08.21 13-45</v>
      </c>
      <c r="T43">
        <f ca="1">IFERROR(__xludf.DUMMYFUNCTION("""COMPUTED_VALUE"""),8200)</f>
        <v>8200</v>
      </c>
      <c r="U43" t="str">
        <f ca="1">IFERROR(__xludf.DUMMYFUNCTION("""COMPUTED_VALUE"""),"09.02.2024 ДР")</f>
        <v>09.02.2024 ДР</v>
      </c>
      <c r="Z43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3" t="str">
        <f ca="1">IFERROR(__xludf.DUMMYFUNCTION("""COMPUTED_VALUE"""),"12-9763")</f>
        <v>12-9763</v>
      </c>
      <c r="AB43" t="str">
        <f ca="1">IFERROR(__xludf.DUMMYFUNCTION("""COMPUTED_VALUE"""),"45 ПРИДН")</f>
        <v>45 ПРИДН</v>
      </c>
      <c r="AC43" t="str">
        <f ca="1">IFERROR(__xludf.DUMMYFUNCTION("""COMPUTED_VALUE"""),"45640 ВЕРХОВЦЕВО")</f>
        <v>45640 ВЕРХОВЦЕВО</v>
      </c>
      <c r="AD43" t="str">
        <f ca="1">IFERROR(__xludf.DUMMYFUNCTION("""COMPUTED_VALUE"""),"02.02.21 00-40")</f>
        <v>02.02.21 00-40</v>
      </c>
      <c r="AE43" t="str">
        <f ca="1">IFERROR(__xludf.DUMMYFUNCTION("""COMPUTED_VALUE"""),"570 ИCТEК КAЛЕНДАРНЫЙ CPOК ДEПOВCКОГО PEМOНТA")</f>
        <v>570 ИCТEК КAЛЕНДАРНЫЙ CPOК ДEПOВCКОГО PEМOНТA</v>
      </c>
      <c r="AF43" t="str">
        <f ca="1">IFERROR(__xludf.DUMMYFUNCTION("""COMPUTED_VALUE"""),"45 ПРИДН")</f>
        <v>45 ПРИДН</v>
      </c>
      <c r="AG43" t="str">
        <f ca="1">IFERROR(__xludf.DUMMYFUNCTION("""COMPUTED_VALUE"""),"45640 ВЕРХОВЦЕВО")</f>
        <v>45640 ВЕРХОВЦЕВО</v>
      </c>
      <c r="AH43" t="str">
        <f ca="1">IFERROR(__xludf.DUMMYFUNCTION("""COMPUTED_VALUE"""),"09.02.21 15-50")</f>
        <v>09.02.21 15-50</v>
      </c>
      <c r="AI43" s="21">
        <f ca="1">IFERROR(__xludf.DUMMYFUNCTION("""COMPUTED_VALUE"""),44420.3576504629)</f>
        <v>44420.357650462902</v>
      </c>
    </row>
    <row r="44" spans="1:35" ht="15.75" customHeight="1" x14ac:dyDescent="0.15">
      <c r="A44">
        <f ca="1">IFERROR(__xludf.DUMMYFUNCTION("""COMPUTED_VALUE"""),97)</f>
        <v>97</v>
      </c>
      <c r="B44" t="str">
        <f ca="1">IFERROR(__xludf.DUMMYFUNCTION("""COMPUTED_VALUE"""),"Лидер")</f>
        <v>Лидер</v>
      </c>
      <c r="C44" t="str">
        <f ca="1">IFERROR(__xludf.DUMMYFUNCTION("""COMPUTED_VALUE"""),"НПП АРМЕТ")</f>
        <v>НПП АРМЕТ</v>
      </c>
      <c r="D44">
        <f ca="1">IFERROR(__xludf.DUMMYFUNCTION("""COMPUTED_VALUE"""),62784806)</f>
        <v>62784806</v>
      </c>
      <c r="E44" t="str">
        <f ca="1">IFERROR(__xludf.DUMMYFUNCTION("""COMPUTED_VALUE"""),"60 ПОЛУВАГОНЫ")</f>
        <v>60 ПОЛУВАГОНЫ</v>
      </c>
      <c r="F44">
        <f ca="1">IFERROR(__xludf.DUMMYFUNCTION("""COMPUTED_VALUE"""),23107)</f>
        <v>23107</v>
      </c>
      <c r="G44" t="str">
        <f ca="1">IFERROR(__xludf.DUMMYFUNCTION("""COMPUTED_VALUE"""),"ПЕСОК СТРОИТ")</f>
        <v>ПЕСОК СТРОИТ</v>
      </c>
      <c r="H44">
        <f ca="1">IFERROR(__xludf.DUMMYFUNCTION("""COMPUTED_VALUE"""),68)</f>
        <v>68</v>
      </c>
      <c r="I44">
        <f ca="1">IFERROR(__xludf.DUMMYFUNCTION("""COMPUTED_VALUE"""),6302)</f>
        <v>6302</v>
      </c>
      <c r="J44" t="str">
        <f ca="1">IFERROR(__xludf.DUMMYFUNCTION("""COMPUTED_VALUE"""),"9511 (34710-285-36240) ШАТРИЩЕ - КОЗОВА")</f>
        <v>9511 (34710-285-36240) ШАТРИЩЕ - КОЗОВА</v>
      </c>
      <c r="K44">
        <f ca="1">IFERROR(__xludf.DUMMYFUNCTION("""COMPUTED_VALUE"""),36000)</f>
        <v>36000</v>
      </c>
      <c r="L44" t="str">
        <f ca="1">IFERROR(__xludf.DUMMYFUNCTION("""COMPUTED_VALUE"""),"ТЕРНОПОЛЬ")</f>
        <v>ТЕРНОПОЛЬ</v>
      </c>
      <c r="M44" t="str">
        <f ca="1">IFERROR(__xludf.DUMMYFUNCTION("""COMPUTED_VALUE"""),"12.08.21 05-00")</f>
        <v>12.08.21 05-00</v>
      </c>
      <c r="N44" t="str">
        <f ca="1">IFERROR(__xludf.DUMMYFUNCTION("""COMPUTED_VALUE"""),"84 ДОСЛ")</f>
        <v>84 ДОСЛ</v>
      </c>
      <c r="O44">
        <f ca="1">IFERROR(__xludf.DUMMYFUNCTION("""COMPUTED_VALUE"""),36240)</f>
        <v>36240</v>
      </c>
      <c r="P44" t="str">
        <f ca="1">IFERROR(__xludf.DUMMYFUNCTION("""COMPUTED_VALUE"""),"КОЗОВА")</f>
        <v>КОЗОВА</v>
      </c>
      <c r="Q44">
        <f ca="1">IFERROR(__xludf.DUMMYFUNCTION("""COMPUTED_VALUE"""),34750)</f>
        <v>34750</v>
      </c>
      <c r="R44" t="str">
        <f ca="1">IFERROR(__xludf.DUMMYFUNCTION("""COMPUTED_VALUE"""),"ПЕНИЗЕВИЧИ")</f>
        <v>ПЕНИЗЕВИЧИ</v>
      </c>
      <c r="S44" t="str">
        <f ca="1">IFERROR(__xludf.DUMMYFUNCTION("""COMPUTED_VALUE"""),"09.08.21 10-10")</f>
        <v>09.08.21 10-10</v>
      </c>
      <c r="T44">
        <f ca="1">IFERROR(__xludf.DUMMYFUNCTION("""COMPUTED_VALUE"""),3437)</f>
        <v>3437</v>
      </c>
      <c r="U44" t="str">
        <f ca="1">IFERROR(__xludf.DUMMYFUNCTION("""COMPUTED_VALUE"""),"05.02.2024 ДР")</f>
        <v>05.02.2024 ДР</v>
      </c>
      <c r="Z44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4" t="str">
        <f ca="1">IFERROR(__xludf.DUMMYFUNCTION("""COMPUTED_VALUE"""),"12-9763")</f>
        <v>12-9763</v>
      </c>
      <c r="AB44" t="str">
        <f ca="1">IFERROR(__xludf.DUMMYFUNCTION("""COMPUTED_VALUE"""),"45 ПРИДН")</f>
        <v>45 ПРИДН</v>
      </c>
      <c r="AC44" t="str">
        <f ca="1">IFERROR(__xludf.DUMMYFUNCTION("""COMPUTED_VALUE"""),"45640 ВЕРХОВЦЕВО")</f>
        <v>45640 ВЕРХОВЦЕВО</v>
      </c>
      <c r="AD44" t="str">
        <f ca="1">IFERROR(__xludf.DUMMYFUNCTION("""COMPUTED_VALUE"""),"02.02.21 11-40")</f>
        <v>02.02.21 11-40</v>
      </c>
      <c r="AE44" t="str">
        <f ca="1">IFERROR(__xludf.DUMMYFUNCTION("""COMPUTED_VALUE"""),"570 ИCТEК КAЛЕНДАРНЫЙ CPOК ДEПOВCКОГО PEМOНТA")</f>
        <v>570 ИCТEК КAЛЕНДАРНЫЙ CPOК ДEПOВCКОГО PEМOНТA</v>
      </c>
      <c r="AF44" t="str">
        <f ca="1">IFERROR(__xludf.DUMMYFUNCTION("""COMPUTED_VALUE"""),"45 ПРИДН")</f>
        <v>45 ПРИДН</v>
      </c>
      <c r="AG44" t="str">
        <f ca="1">IFERROR(__xludf.DUMMYFUNCTION("""COMPUTED_VALUE"""),"45640 ВЕРХОВЦЕВО")</f>
        <v>45640 ВЕРХОВЦЕВО</v>
      </c>
      <c r="AH44" t="str">
        <f ca="1">IFERROR(__xludf.DUMMYFUNCTION("""COMPUTED_VALUE"""),"05.02.21 14-00")</f>
        <v>05.02.21 14-00</v>
      </c>
      <c r="AI44" s="21">
        <f ca="1">IFERROR(__xludf.DUMMYFUNCTION("""COMPUTED_VALUE"""),44420.3576504629)</f>
        <v>44420.357650462902</v>
      </c>
    </row>
    <row r="45" spans="1:35" ht="15.75" customHeight="1" x14ac:dyDescent="0.15">
      <c r="A45">
        <f ca="1">IFERROR(__xludf.DUMMYFUNCTION("""COMPUTED_VALUE"""),98)</f>
        <v>98</v>
      </c>
      <c r="B45" t="str">
        <f ca="1">IFERROR(__xludf.DUMMYFUNCTION("""COMPUTED_VALUE"""),"Подольский цемент")</f>
        <v>Подольский цемент</v>
      </c>
      <c r="C45" t="str">
        <f ca="1">IFERROR(__xludf.DUMMYFUNCTION("""COMPUTED_VALUE"""),"НПП АРМЕТ")</f>
        <v>НПП АРМЕТ</v>
      </c>
      <c r="D45">
        <f ca="1">IFERROR(__xludf.DUMMYFUNCTION("""COMPUTED_VALUE"""),62784814)</f>
        <v>62784814</v>
      </c>
      <c r="E45" t="str">
        <f ca="1">IFERROR(__xludf.DUMMYFUNCTION("""COMPUTED_VALUE"""),"60 ПОЛУВАГОНЫ")</f>
        <v>60 ПОЛУВАГОНЫ</v>
      </c>
      <c r="F45">
        <f ca="1">IFERROR(__xludf.DUMMYFUNCTION("""COMPUTED_VALUE"""),24500)</f>
        <v>24500</v>
      </c>
      <c r="G45" t="str">
        <f ca="1">IFERROR(__xludf.DUMMYFUNCTION("""COMPUTED_VALUE"""),"КЛИНКЕР ЦЕМЕНТ")</f>
        <v>КЛИНКЕР ЦЕМЕНТ</v>
      </c>
      <c r="H45">
        <f ca="1">IFERROR(__xludf.DUMMYFUNCTION("""COMPUTED_VALUE"""),69)</f>
        <v>69</v>
      </c>
      <c r="I45">
        <f ca="1">IFERROR(__xludf.DUMMYFUNCTION("""COMPUTED_VALUE"""),1489)</f>
        <v>1489</v>
      </c>
      <c r="J45" t="str">
        <f ca="1">IFERROR(__xludf.DUMMYFUNCTION("""COMPUTED_VALUE"""),"3106 (33300-024-37780) ГУМЕНЦЫ - НИКОЛАЕВ-ДН")</f>
        <v>3106 (33300-024-37780) ГУМЕНЦЫ - НИКОЛАЕВ-ДН</v>
      </c>
      <c r="K45">
        <f ca="1">IFERROR(__xludf.DUMMYFUNCTION("""COMPUTED_VALUE"""),33300)</f>
        <v>33300</v>
      </c>
      <c r="L45" t="str">
        <f ca="1">IFERROR(__xludf.DUMMYFUNCTION("""COMPUTED_VALUE"""),"ГУМЕНЦЫ")</f>
        <v>ГУМЕНЦЫ</v>
      </c>
      <c r="M45" t="str">
        <f ca="1">IFERROR(__xludf.DUMMYFUNCTION("""COMPUTED_VALUE"""),"12.08.21 01-30")</f>
        <v>12.08.21 01-30</v>
      </c>
      <c r="N45" t="str">
        <f ca="1">IFERROR(__xludf.DUMMYFUNCTION("""COMPUTED_VALUE"""),"97 ОКОТ")</f>
        <v>97 ОКОТ</v>
      </c>
      <c r="O45">
        <f ca="1">IFERROR(__xludf.DUMMYFUNCTION("""COMPUTED_VALUE"""),37780)</f>
        <v>37780</v>
      </c>
      <c r="P45" t="str">
        <f ca="1">IFERROR(__xludf.DUMMYFUNCTION("""COMPUTED_VALUE"""),"НИКОЛАЕВ-ДН")</f>
        <v>НИКОЛАЕВ-ДН</v>
      </c>
      <c r="Q45">
        <f ca="1">IFERROR(__xludf.DUMMYFUNCTION("""COMPUTED_VALUE"""),33300)</f>
        <v>33300</v>
      </c>
      <c r="R45" t="str">
        <f ca="1">IFERROR(__xludf.DUMMYFUNCTION("""COMPUTED_VALUE"""),"ГУМЕНЦЫ")</f>
        <v>ГУМЕНЦЫ</v>
      </c>
      <c r="S45" t="str">
        <f ca="1">IFERROR(__xludf.DUMMYFUNCTION("""COMPUTED_VALUE"""),"12.08.21 01-30")</f>
        <v>12.08.21 01-30</v>
      </c>
      <c r="T45">
        <f ca="1">IFERROR(__xludf.DUMMYFUNCTION("""COMPUTED_VALUE"""),5268)</f>
        <v>5268</v>
      </c>
      <c r="U45" t="str">
        <f ca="1">IFERROR(__xludf.DUMMYFUNCTION("""COMPUTED_VALUE"""),"30.01.2024 ДР")</f>
        <v>30.01.2024 ДР</v>
      </c>
      <c r="Z45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5" t="str">
        <f ca="1">IFERROR(__xludf.DUMMYFUNCTION("""COMPUTED_VALUE"""),"12-9763")</f>
        <v>12-9763</v>
      </c>
      <c r="AB45" t="str">
        <f ca="1">IFERROR(__xludf.DUMMYFUNCTION("""COMPUTED_VALUE"""),"45 ПРИДН")</f>
        <v>45 ПРИДН</v>
      </c>
      <c r="AC45" t="str">
        <f ca="1">IFERROR(__xludf.DUMMYFUNCTION("""COMPUTED_VALUE"""),"45640 ВЕРХОВЦЕВО")</f>
        <v>45640 ВЕРХОВЦЕВО</v>
      </c>
      <c r="AD45" t="str">
        <f ca="1">IFERROR(__xludf.DUMMYFUNCTION("""COMPUTED_VALUE"""),"28.01.21 13-15")</f>
        <v>28.01.21 13-15</v>
      </c>
      <c r="AE45" t="str">
        <f ca="1">IFERROR(__xludf.DUMMYFUNCTION("""COMPUTED_VALUE"""),"570 ИCТEК КAЛЕНДАРНЫЙ CPOК ДEПOВCКОГО PEМOНТA")</f>
        <v>570 ИCТEК КAЛЕНДАРНЫЙ CPOК ДEПOВCКОГО PEМOНТA</v>
      </c>
      <c r="AF45" t="str">
        <f ca="1">IFERROR(__xludf.DUMMYFUNCTION("""COMPUTED_VALUE"""),"45 ПРИДН")</f>
        <v>45 ПРИДН</v>
      </c>
      <c r="AG45" t="str">
        <f ca="1">IFERROR(__xludf.DUMMYFUNCTION("""COMPUTED_VALUE"""),"45640 ВЕРХОВЦЕВО")</f>
        <v>45640 ВЕРХОВЦЕВО</v>
      </c>
      <c r="AH45" t="str">
        <f ca="1">IFERROR(__xludf.DUMMYFUNCTION("""COMPUTED_VALUE"""),"30.01.21 14-30")</f>
        <v>30.01.21 14-30</v>
      </c>
      <c r="AI45" s="21">
        <f ca="1">IFERROR(__xludf.DUMMYFUNCTION("""COMPUTED_VALUE"""),44420.3576504629)</f>
        <v>44420.357650462902</v>
      </c>
    </row>
    <row r="46" spans="1:35" ht="15.75" customHeight="1" x14ac:dyDescent="0.15">
      <c r="A46">
        <f ca="1">IFERROR(__xludf.DUMMYFUNCTION("""COMPUTED_VALUE"""),99)</f>
        <v>99</v>
      </c>
      <c r="B46" t="str">
        <f ca="1">IFERROR(__xludf.DUMMYFUNCTION("""COMPUTED_VALUE"""),"Техрейс")</f>
        <v>Техрейс</v>
      </c>
      <c r="C46" t="str">
        <f ca="1">IFERROR(__xludf.DUMMYFUNCTION("""COMPUTED_VALUE"""),"НПП АРМЕТ")</f>
        <v>НПП АРМЕТ</v>
      </c>
      <c r="D46">
        <f ca="1">IFERROR(__xludf.DUMMYFUNCTION("""COMPUTED_VALUE"""),62784848)</f>
        <v>62784848</v>
      </c>
      <c r="E46" t="str">
        <f ca="1">IFERROR(__xludf.DUMMYFUNCTION("""COMPUTED_VALUE"""),"60 ПОЛУВАГОНЫ")</f>
        <v>60 ПОЛУВАГОНЫ</v>
      </c>
      <c r="F46">
        <f ca="1">IFERROR(__xludf.DUMMYFUNCTION("""COMPUTED_VALUE"""),14109)</f>
        <v>14109</v>
      </c>
      <c r="G46" t="str">
        <f ca="1">IFERROR(__xludf.DUMMYFUNCTION("""COMPUTED_VALUE"""),"ГЕМАТИТ")</f>
        <v>ГЕМАТИТ</v>
      </c>
      <c r="H46">
        <f ca="1">IFERROR(__xludf.DUMMYFUNCTION("""COMPUTED_VALUE"""),70)</f>
        <v>70</v>
      </c>
      <c r="I46">
        <f ca="1">IFERROR(__xludf.DUMMYFUNCTION("""COMPUTED_VALUE"""),5786)</f>
        <v>5786</v>
      </c>
      <c r="J46" t="str">
        <f ca="1">IFERROR(__xludf.DUMMYFUNCTION("""COMPUTED_VALUE"""),"2760 (40050-083-46720) БЕРЕГОВАЯ - КРИВОЙ РОГ")</f>
        <v>2760 (40050-083-46720) БЕРЕГОВАЯ - КРИВОЙ РОГ</v>
      </c>
      <c r="K46">
        <f ca="1">IFERROR(__xludf.DUMMYFUNCTION("""COMPUTED_VALUE"""),40050)</f>
        <v>40050</v>
      </c>
      <c r="L46" t="str">
        <f ca="1">IFERROR(__xludf.DUMMYFUNCTION("""COMPUTED_VALUE"""),"БЕРЕГОВАЯ")</f>
        <v>БЕРЕГОВАЯ</v>
      </c>
      <c r="M46" t="str">
        <f ca="1">IFERROR(__xludf.DUMMYFUNCTION("""COMPUTED_VALUE"""),"12.08.21 05-00")</f>
        <v>12.08.21 05-00</v>
      </c>
      <c r="N46" t="str">
        <f ca="1">IFERROR(__xludf.DUMMYFUNCTION("""COMPUTED_VALUE"""),"21 ВЫГ2")</f>
        <v>21 ВЫГ2</v>
      </c>
      <c r="O46">
        <f ca="1">IFERROR(__xludf.DUMMYFUNCTION("""COMPUTED_VALUE"""),40060)</f>
        <v>40060</v>
      </c>
      <c r="P46" t="str">
        <f ca="1">IFERROR(__xludf.DUMMYFUNCTION("""COMPUTED_VALUE"""),"БЕРЕГОВАЯ-Э")</f>
        <v>БЕРЕГОВАЯ-Э</v>
      </c>
      <c r="Q46">
        <f ca="1">IFERROR(__xludf.DUMMYFUNCTION("""COMPUTED_VALUE"""),46720)</f>
        <v>46720</v>
      </c>
      <c r="R46" t="str">
        <f ca="1">IFERROR(__xludf.DUMMYFUNCTION("""COMPUTED_VALUE"""),"КРИВОЙ РОГ")</f>
        <v>КРИВОЙ РОГ</v>
      </c>
      <c r="S46" t="str">
        <f ca="1">IFERROR(__xludf.DUMMYFUNCTION("""COMPUTED_VALUE"""),"10.08.21 10-20")</f>
        <v>10.08.21 10-20</v>
      </c>
      <c r="U46" t="str">
        <f ca="1">IFERROR(__xludf.DUMMYFUNCTION("""COMPUTED_VALUE"""),"05.02.2024 ДР")</f>
        <v>05.02.2024 ДР</v>
      </c>
      <c r="Z46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6" t="str">
        <f ca="1">IFERROR(__xludf.DUMMYFUNCTION("""COMPUTED_VALUE"""),"12-9763")</f>
        <v>12-9763</v>
      </c>
      <c r="AB46" t="str">
        <f ca="1">IFERROR(__xludf.DUMMYFUNCTION("""COMPUTED_VALUE"""),"45 ПРИДН")</f>
        <v>45 ПРИДН</v>
      </c>
      <c r="AC46" t="str">
        <f ca="1">IFERROR(__xludf.DUMMYFUNCTION("""COMPUTED_VALUE"""),"45640 ВЕРХОВЦЕВО")</f>
        <v>45640 ВЕРХОВЦЕВО</v>
      </c>
      <c r="AD46" t="str">
        <f ca="1">IFERROR(__xludf.DUMMYFUNCTION("""COMPUTED_VALUE"""),"02.02.21 11-40")</f>
        <v>02.02.21 11-40</v>
      </c>
      <c r="AE46" t="str">
        <f ca="1">IFERROR(__xludf.DUMMYFUNCTION("""COMPUTED_VALUE"""),"570 ИCТEК КAЛЕНДАРНЫЙ CPOК ДEПOВCКОГО PEМOНТA")</f>
        <v>570 ИCТEК КAЛЕНДАРНЫЙ CPOК ДEПOВCКОГО PEМOНТA</v>
      </c>
      <c r="AF46" t="str">
        <f ca="1">IFERROR(__xludf.DUMMYFUNCTION("""COMPUTED_VALUE"""),"45 ПРИДН")</f>
        <v>45 ПРИДН</v>
      </c>
      <c r="AG46" t="str">
        <f ca="1">IFERROR(__xludf.DUMMYFUNCTION("""COMPUTED_VALUE"""),"45640 ВЕРХОВЦЕВО")</f>
        <v>45640 ВЕРХОВЦЕВО</v>
      </c>
      <c r="AH46" t="str">
        <f ca="1">IFERROR(__xludf.DUMMYFUNCTION("""COMPUTED_VALUE"""),"05.02.21 14-40")</f>
        <v>05.02.21 14-40</v>
      </c>
      <c r="AI46" s="21">
        <f ca="1">IFERROR(__xludf.DUMMYFUNCTION("""COMPUTED_VALUE"""),44420.3576504629)</f>
        <v>44420.357650462902</v>
      </c>
    </row>
    <row r="47" spans="1:35" ht="15.75" customHeight="1" x14ac:dyDescent="0.15">
      <c r="A47">
        <f ca="1">IFERROR(__xludf.DUMMYFUNCTION("""COMPUTED_VALUE"""),100)</f>
        <v>100</v>
      </c>
      <c r="B47" t="str">
        <f ca="1">IFERROR(__xludf.DUMMYFUNCTION("""COMPUTED_VALUE"""),"Трансцентр")</f>
        <v>Трансцентр</v>
      </c>
      <c r="C47" t="str">
        <f ca="1">IFERROR(__xludf.DUMMYFUNCTION("""COMPUTED_VALUE"""),"НПП АРМЕТ")</f>
        <v>НПП АРМЕТ</v>
      </c>
      <c r="D47">
        <f ca="1">IFERROR(__xludf.DUMMYFUNCTION("""COMPUTED_VALUE"""),62784871)</f>
        <v>62784871</v>
      </c>
      <c r="E47" t="str">
        <f ca="1">IFERROR(__xludf.DUMMYFUNCTION("""COMPUTED_VALUE"""),"60 ПОЛУВАГОНЫ")</f>
        <v>60 ПОЛУВАГОНЫ</v>
      </c>
      <c r="F47">
        <f ca="1">IFERROR(__xludf.DUMMYFUNCTION("""COMPUTED_VALUE"""),42103)</f>
        <v>42103</v>
      </c>
      <c r="G47" t="str">
        <f ca="1">IFERROR(__xludf.DUMMYFUNCTION("""COMPUTED_VALUE"""),"ВАГОНЫ ЖД СВ")</f>
        <v>ВАГОНЫ ЖД СВ</v>
      </c>
      <c r="H47">
        <f ca="1">IFERROR(__xludf.DUMMYFUNCTION("""COMPUTED_VALUE"""),69)</f>
        <v>69</v>
      </c>
      <c r="I47">
        <f ca="1">IFERROR(__xludf.DUMMYFUNCTION("""COMPUTED_VALUE"""),4279)</f>
        <v>4279</v>
      </c>
      <c r="J47" t="str">
        <f ca="1">IFERROR(__xludf.DUMMYFUNCTION("""COMPUTED_VALUE"""),"3501 (34000-055-34850) ШЕПЕТОВКА - УШИЦА")</f>
        <v>3501 (34000-055-34850) ШЕПЕТОВКА - УШИЦА</v>
      </c>
      <c r="K47">
        <f ca="1">IFERROR(__xludf.DUMMYFUNCTION("""COMPUTED_VALUE"""),34000)</f>
        <v>34000</v>
      </c>
      <c r="L47" t="str">
        <f ca="1">IFERROR(__xludf.DUMMYFUNCTION("""COMPUTED_VALUE"""),"ШЕПЕТОВКА")</f>
        <v>ШЕПЕТОВКА</v>
      </c>
      <c r="M47" t="str">
        <f ca="1">IFERROR(__xludf.DUMMYFUNCTION("""COMPUTED_VALUE"""),"12.08.21 01-01")</f>
        <v>12.08.21 01-01</v>
      </c>
      <c r="N47" t="str">
        <f ca="1">IFERROR(__xludf.DUMMYFUNCTION("""COMPUTED_VALUE"""),"05 ФОРМ")</f>
        <v>05 ФОРМ</v>
      </c>
      <c r="O47">
        <f ca="1">IFERROR(__xludf.DUMMYFUNCTION("""COMPUTED_VALUE"""),34780)</f>
        <v>34780</v>
      </c>
      <c r="P47" t="str">
        <f ca="1">IFERROR(__xludf.DUMMYFUNCTION("""COMPUTED_VALUE"""),"МАЙДАН-ВИЛА")</f>
        <v>МАЙДАН-ВИЛА</v>
      </c>
      <c r="Q47">
        <f ca="1">IFERROR(__xludf.DUMMYFUNCTION("""COMPUTED_VALUE"""),34780)</f>
        <v>34780</v>
      </c>
      <c r="R47" t="str">
        <f ca="1">IFERROR(__xludf.DUMMYFUNCTION("""COMPUTED_VALUE"""),"МАЙДАН-ВИЛА")</f>
        <v>МАЙДАН-ВИЛА</v>
      </c>
      <c r="S47" t="str">
        <f ca="1">IFERROR(__xludf.DUMMYFUNCTION("""COMPUTED_VALUE"""),"29.07.21 13-10")</f>
        <v>29.07.21 13-10</v>
      </c>
      <c r="T47">
        <f ca="1">IFERROR(__xludf.DUMMYFUNCTION("""COMPUTED_VALUE"""),0)</f>
        <v>0</v>
      </c>
      <c r="U47" t="str">
        <f ca="1">IFERROR(__xludf.DUMMYFUNCTION("""COMPUTED_VALUE"""),"31.01.2024 ДР")</f>
        <v>31.01.2024 ДР</v>
      </c>
      <c r="Z47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7" t="str">
        <f ca="1">IFERROR(__xludf.DUMMYFUNCTION("""COMPUTED_VALUE"""),"12-9763")</f>
        <v>12-9763</v>
      </c>
      <c r="AB47" t="str">
        <f ca="1">IFERROR(__xludf.DUMMYFUNCTION("""COMPUTED_VALUE"""),"32 Ю-ЗАП")</f>
        <v>32 Ю-ЗАП</v>
      </c>
      <c r="AC47" t="str">
        <f ca="1">IFERROR(__xludf.DUMMYFUNCTION("""COMPUTED_VALUE"""),"34000 ШЕПЕТОВКА")</f>
        <v>34000 ШЕПЕТОВКА</v>
      </c>
      <c r="AD47" t="str">
        <f ca="1">IFERROR(__xludf.DUMMYFUNCTION("""COMPUTED_VALUE"""),"07.03.21 20-20")</f>
        <v>07.03.21 20-20</v>
      </c>
      <c r="AE47" t="str">
        <f ca="1">IFERROR(__xludf.DUMMYFUNCTION("""COMPUTED_VALUE"""),"540 НEИCПPAВНOCТЬ ЗAПOPA ЛЮКA")</f>
        <v>540 НEИCПPAВНOCТЬ ЗAПOPA ЛЮКA</v>
      </c>
      <c r="AF47" t="str">
        <f ca="1">IFERROR(__xludf.DUMMYFUNCTION("""COMPUTED_VALUE"""),"32 Ю-ЗАП")</f>
        <v>32 Ю-ЗАП</v>
      </c>
      <c r="AG47" t="str">
        <f ca="1">IFERROR(__xludf.DUMMYFUNCTION("""COMPUTED_VALUE"""),"34000 ШЕПЕТОВКА")</f>
        <v>34000 ШЕПЕТОВКА</v>
      </c>
      <c r="AH47" t="str">
        <f ca="1">IFERROR(__xludf.DUMMYFUNCTION("""COMPUTED_VALUE"""),"13.03.21 11-00")</f>
        <v>13.03.21 11-00</v>
      </c>
      <c r="AI47" s="21">
        <f ca="1">IFERROR(__xludf.DUMMYFUNCTION("""COMPUTED_VALUE"""),44420.3576504629)</f>
        <v>44420.357650462902</v>
      </c>
    </row>
    <row r="48" spans="1:35" ht="15.75" customHeight="1" x14ac:dyDescent="0.15">
      <c r="A48">
        <f ca="1">IFERROR(__xludf.DUMMYFUNCTION("""COMPUTED_VALUE"""),101)</f>
        <v>101</v>
      </c>
      <c r="B48" t="str">
        <f ca="1">IFERROR(__xludf.DUMMYFUNCTION("""COMPUTED_VALUE"""),"Лидер")</f>
        <v>Лидер</v>
      </c>
      <c r="C48" t="str">
        <f ca="1">IFERROR(__xludf.DUMMYFUNCTION("""COMPUTED_VALUE"""),"НПП АРМЕТ")</f>
        <v>НПП АРМЕТ</v>
      </c>
      <c r="D48">
        <f ca="1">IFERROR(__xludf.DUMMYFUNCTION("""COMPUTED_VALUE"""),62784889)</f>
        <v>62784889</v>
      </c>
      <c r="E48" t="str">
        <f ca="1">IFERROR(__xludf.DUMMYFUNCTION("""COMPUTED_VALUE"""),"60 ПОЛУВАГОНЫ")</f>
        <v>60 ПОЛУВАГОНЫ</v>
      </c>
      <c r="F48">
        <f ca="1">IFERROR(__xludf.DUMMYFUNCTION("""COMPUTED_VALUE"""),42103)</f>
        <v>42103</v>
      </c>
      <c r="G48" t="str">
        <f ca="1">IFERROR(__xludf.DUMMYFUNCTION("""COMPUTED_VALUE"""),"ВАГОНЫ ЖД СВ")</f>
        <v>ВАГОНЫ ЖД СВ</v>
      </c>
      <c r="H48">
        <f ca="1">IFERROR(__xludf.DUMMYFUNCTION("""COMPUTED_VALUE"""),0)</f>
        <v>0</v>
      </c>
      <c r="I48">
        <f ca="1">IFERROR(__xludf.DUMMYFUNCTION("""COMPUTED_VALUE"""),5057)</f>
        <v>5057</v>
      </c>
      <c r="J48" t="str">
        <f ca="1">IFERROR(__xludf.DUMMYFUNCTION("""COMPUTED_VALUE"""),"1111 (44560-110-44020) БАСЫ - ОСНОВА")</f>
        <v>1111 (44560-110-44020) БАСЫ - ОСНОВА</v>
      </c>
      <c r="K48">
        <f ca="1">IFERROR(__xludf.DUMMYFUNCTION("""COMPUTED_VALUE"""),44560)</f>
        <v>44560</v>
      </c>
      <c r="L48" t="str">
        <f ca="1">IFERROR(__xludf.DUMMYFUNCTION("""COMPUTED_VALUE"""),"БАСЫ")</f>
        <v>БАСЫ</v>
      </c>
      <c r="M48" t="str">
        <f ca="1">IFERROR(__xludf.DUMMYFUNCTION("""COMPUTED_VALUE"""),"12.08.21 06-02")</f>
        <v>12.08.21 06-02</v>
      </c>
      <c r="N48" t="str">
        <f ca="1">IFERROR(__xludf.DUMMYFUNCTION("""COMPUTED_VALUE"""),"05 ФОРМ")</f>
        <v>05 ФОРМ</v>
      </c>
      <c r="O48">
        <f ca="1">IFERROR(__xludf.DUMMYFUNCTION("""COMPUTED_VALUE"""),42790)</f>
        <v>42790</v>
      </c>
      <c r="P48" t="str">
        <f ca="1">IFERROR(__xludf.DUMMYFUNCTION("""COMPUTED_VALUE"""),"ЛЕВОБЕРЕЖНАЯ")</f>
        <v>ЛЕВОБЕРЕЖНАЯ</v>
      </c>
      <c r="Q48">
        <f ca="1">IFERROR(__xludf.DUMMYFUNCTION("""COMPUTED_VALUE"""),44520)</f>
        <v>44520</v>
      </c>
      <c r="R48" t="str">
        <f ca="1">IFERROR(__xludf.DUMMYFUNCTION("""COMPUTED_VALUE"""),"ТОРОПИЛОВКА")</f>
        <v>ТОРОПИЛОВКА</v>
      </c>
      <c r="S48" t="str">
        <f ca="1">IFERROR(__xludf.DUMMYFUNCTION("""COMPUTED_VALUE"""),"11.08.21 12-20")</f>
        <v>11.08.21 12-20</v>
      </c>
      <c r="T48">
        <f ca="1">IFERROR(__xludf.DUMMYFUNCTION("""COMPUTED_VALUE"""),2155)</f>
        <v>2155</v>
      </c>
      <c r="U48" t="str">
        <f ca="1">IFERROR(__xludf.DUMMYFUNCTION("""COMPUTED_VALUE"""),"24.02.2024 ДР")</f>
        <v>24.02.2024 ДР</v>
      </c>
      <c r="Z48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8" t="str">
        <f ca="1">IFERROR(__xludf.DUMMYFUNCTION("""COMPUTED_VALUE"""),"12-9763")</f>
        <v>12-9763</v>
      </c>
      <c r="AB48" t="str">
        <f ca="1">IFERROR(__xludf.DUMMYFUNCTION("""COMPUTED_VALUE"""),"45 ПРИДН")</f>
        <v>45 ПРИДН</v>
      </c>
      <c r="AC48" t="str">
        <f ca="1">IFERROR(__xludf.DUMMYFUNCTION("""COMPUTED_VALUE"""),"45640 ВЕРХОВЦЕВО")</f>
        <v>45640 ВЕРХОВЦЕВО</v>
      </c>
      <c r="AD48" t="str">
        <f ca="1">IFERROR(__xludf.DUMMYFUNCTION("""COMPUTED_VALUE"""),"22.02.21 04-05")</f>
        <v>22.02.21 04-05</v>
      </c>
      <c r="AE48" t="str">
        <f ca="1">IFERROR(__xludf.DUMMYFUNCTION("""COMPUTED_VALUE"""),"570 ИCТEК КAЛЕНДАРНЫЙ CPOК ДEПOВCКОГО PEМOНТA")</f>
        <v>570 ИCТEК КAЛЕНДАРНЫЙ CPOК ДEПOВCКОГО PEМOНТA</v>
      </c>
      <c r="AF48" t="str">
        <f ca="1">IFERROR(__xludf.DUMMYFUNCTION("""COMPUTED_VALUE"""),"45 ПРИДН")</f>
        <v>45 ПРИДН</v>
      </c>
      <c r="AG48" t="str">
        <f ca="1">IFERROR(__xludf.DUMMYFUNCTION("""COMPUTED_VALUE"""),"45640 ВЕРХОВЦЕВО")</f>
        <v>45640 ВЕРХОВЦЕВО</v>
      </c>
      <c r="AH48" t="str">
        <f ca="1">IFERROR(__xludf.DUMMYFUNCTION("""COMPUTED_VALUE"""),"24.02.21 15-00")</f>
        <v>24.02.21 15-00</v>
      </c>
      <c r="AI48" s="21">
        <f ca="1">IFERROR(__xludf.DUMMYFUNCTION("""COMPUTED_VALUE"""),44420.3576504629)</f>
        <v>44420.357650462902</v>
      </c>
    </row>
    <row r="49" spans="1:35" ht="15.75" customHeight="1" x14ac:dyDescent="0.15">
      <c r="A49">
        <f ca="1">IFERROR(__xludf.DUMMYFUNCTION("""COMPUTED_VALUE"""),102)</f>
        <v>102</v>
      </c>
      <c r="B49" t="str">
        <f ca="1">IFERROR(__xludf.DUMMYFUNCTION("""COMPUTED_VALUE"""),"Техрейс")</f>
        <v>Техрейс</v>
      </c>
      <c r="C49" t="str">
        <f ca="1">IFERROR(__xludf.DUMMYFUNCTION("""COMPUTED_VALUE"""),"НПП АРМЕТ")</f>
        <v>НПП АРМЕТ</v>
      </c>
      <c r="D49">
        <f ca="1">IFERROR(__xludf.DUMMYFUNCTION("""COMPUTED_VALUE"""),62784905)</f>
        <v>62784905</v>
      </c>
      <c r="E49" t="str">
        <f ca="1">IFERROR(__xludf.DUMMYFUNCTION("""COMPUTED_VALUE"""),"60 ПОЛУВАГОНЫ")</f>
        <v>60 ПОЛУВАГОНЫ</v>
      </c>
      <c r="F49">
        <f ca="1">IFERROR(__xludf.DUMMYFUNCTION("""COMPUTED_VALUE"""),42103)</f>
        <v>42103</v>
      </c>
      <c r="G49" t="str">
        <f ca="1">IFERROR(__xludf.DUMMYFUNCTION("""COMPUTED_VALUE"""),"ВАГОНЫ ЖД СВ")</f>
        <v>ВАГОНЫ ЖД СВ</v>
      </c>
      <c r="H49">
        <f ca="1">IFERROR(__xludf.DUMMYFUNCTION("""COMPUTED_VALUE"""),0)</f>
        <v>0</v>
      </c>
      <c r="I49">
        <f ca="1">IFERROR(__xludf.DUMMYFUNCTION("""COMPUTED_VALUE"""),5377)</f>
        <v>5377</v>
      </c>
      <c r="J49" t="str">
        <f ca="1">IFERROR(__xludf.DUMMYFUNCTION("""COMPUTED_VALUE"""),"4831 (49020-010-49000) СВЯТОГОРСК - ЛИМАН")</f>
        <v>4831 (49020-010-49000) СВЯТОГОРСК - ЛИМАН</v>
      </c>
      <c r="K49">
        <f ca="1">IFERROR(__xludf.DUMMYFUNCTION("""COMPUTED_VALUE"""),49020)</f>
        <v>49020</v>
      </c>
      <c r="L49" t="str">
        <f ca="1">IFERROR(__xludf.DUMMYFUNCTION("""COMPUTED_VALUE"""),"СВЯТОГОРСК")</f>
        <v>СВЯТОГОРСК</v>
      </c>
      <c r="M49" t="str">
        <f ca="1">IFERROR(__xludf.DUMMYFUNCTION("""COMPUTED_VALUE"""),"11.08.21 05-54")</f>
        <v>11.08.21 05-54</v>
      </c>
      <c r="N49" t="str">
        <f ca="1">IFERROR(__xludf.DUMMYFUNCTION("""COMPUTED_VALUE"""),"05 ФОРМ")</f>
        <v>05 ФОРМ</v>
      </c>
      <c r="O49">
        <f ca="1">IFERROR(__xludf.DUMMYFUNCTION("""COMPUTED_VALUE"""),49480)</f>
        <v>49480</v>
      </c>
      <c r="P49" t="str">
        <f ca="1">IFERROR(__xludf.DUMMYFUNCTION("""COMPUTED_VALUE"""),"СОЛЬ")</f>
        <v>СОЛЬ</v>
      </c>
      <c r="Q49">
        <f ca="1">IFERROR(__xludf.DUMMYFUNCTION("""COMPUTED_VALUE"""),49020)</f>
        <v>49020</v>
      </c>
      <c r="R49" t="str">
        <f ca="1">IFERROR(__xludf.DUMMYFUNCTION("""COMPUTED_VALUE"""),"СВЯТОГОРСК")</f>
        <v>СВЯТОГОРСК</v>
      </c>
      <c r="S49" t="str">
        <f ca="1">IFERROR(__xludf.DUMMYFUNCTION("""COMPUTED_VALUE"""),"10.08.21 10-25")</f>
        <v>10.08.21 10-25</v>
      </c>
      <c r="T49">
        <f ca="1">IFERROR(__xludf.DUMMYFUNCTION("""COMPUTED_VALUE"""),8200)</f>
        <v>8200</v>
      </c>
      <c r="U49" t="str">
        <f ca="1">IFERROR(__xludf.DUMMYFUNCTION("""COMPUTED_VALUE"""),"19.02.2024 ДР")</f>
        <v>19.02.2024 ДР</v>
      </c>
      <c r="Z49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49" t="str">
        <f ca="1">IFERROR(__xludf.DUMMYFUNCTION("""COMPUTED_VALUE"""),"12-9763")</f>
        <v>12-9763</v>
      </c>
      <c r="AB49" t="str">
        <f ca="1">IFERROR(__xludf.DUMMYFUNCTION("""COMPUTED_VALUE"""),"45 ПРИДН")</f>
        <v>45 ПРИДН</v>
      </c>
      <c r="AC49" t="str">
        <f ca="1">IFERROR(__xludf.DUMMYFUNCTION("""COMPUTED_VALUE"""),"45640 ВЕРХОВЦЕВО")</f>
        <v>45640 ВЕРХОВЦЕВО</v>
      </c>
      <c r="AD49" t="str">
        <f ca="1">IFERROR(__xludf.DUMMYFUNCTION("""COMPUTED_VALUE"""),"02.02.21 11-40")</f>
        <v>02.02.21 11-40</v>
      </c>
      <c r="AE49" t="str">
        <f ca="1">IFERROR(__xludf.DUMMYFUNCTION("""COMPUTED_VALUE"""),"570 ИCТEК КAЛЕНДАРНЫЙ CPOК ДEПOВCКОГО PEМOНТA")</f>
        <v>570 ИCТEК КAЛЕНДАРНЫЙ CPOК ДEПOВCКОГО PEМOНТA</v>
      </c>
      <c r="AF49" t="str">
        <f ca="1">IFERROR(__xludf.DUMMYFUNCTION("""COMPUTED_VALUE"""),"45 ПРИДН")</f>
        <v>45 ПРИДН</v>
      </c>
      <c r="AG49" t="str">
        <f ca="1">IFERROR(__xludf.DUMMYFUNCTION("""COMPUTED_VALUE"""),"45640 ВЕРХОВЦЕВО")</f>
        <v>45640 ВЕРХОВЦЕВО</v>
      </c>
      <c r="AH49" t="str">
        <f ca="1">IFERROR(__xludf.DUMMYFUNCTION("""COMPUTED_VALUE"""),"19.02.21 15-00")</f>
        <v>19.02.21 15-00</v>
      </c>
      <c r="AI49" s="21">
        <f ca="1">IFERROR(__xludf.DUMMYFUNCTION("""COMPUTED_VALUE"""),44420.3576504629)</f>
        <v>44420.357650462902</v>
      </c>
    </row>
    <row r="50" spans="1:35" ht="13" x14ac:dyDescent="0.15">
      <c r="A50">
        <f ca="1">IFERROR(__xludf.DUMMYFUNCTION("""COMPUTED_VALUE"""),103)</f>
        <v>103</v>
      </c>
      <c r="B50" t="str">
        <f ca="1">IFERROR(__xludf.DUMMYFUNCTION("""COMPUTED_VALUE"""),"Техрейс")</f>
        <v>Техрейс</v>
      </c>
      <c r="C50" t="str">
        <f ca="1">IFERROR(__xludf.DUMMYFUNCTION("""COMPUTED_VALUE"""),"НПП АРМЕТ")</f>
        <v>НПП АРМЕТ</v>
      </c>
      <c r="D50">
        <f ca="1">IFERROR(__xludf.DUMMYFUNCTION("""COMPUTED_VALUE"""),62784913)</f>
        <v>62784913</v>
      </c>
      <c r="E50" t="str">
        <f ca="1">IFERROR(__xludf.DUMMYFUNCTION("""COMPUTED_VALUE"""),"60 ПОЛУВАГОНЫ")</f>
        <v>60 ПОЛУВАГОНЫ</v>
      </c>
      <c r="F50">
        <f ca="1">IFERROR(__xludf.DUMMYFUNCTION("""COMPUTED_VALUE"""),24132)</f>
        <v>24132</v>
      </c>
      <c r="G50" t="str">
        <f ca="1">IFERROR(__xludf.DUMMYFUNCTION("""COMPUTED_VALUE"""),"КАМЕНЬ ГИПСОВ")</f>
        <v>КАМЕНЬ ГИПСОВ</v>
      </c>
      <c r="H50">
        <f ca="1">IFERROR(__xludf.DUMMYFUNCTION("""COMPUTED_VALUE"""),70)</f>
        <v>70</v>
      </c>
      <c r="I50">
        <f ca="1">IFERROR(__xludf.DUMMYFUNCTION("""COMPUTED_VALUE"""),6182)</f>
        <v>6182</v>
      </c>
      <c r="J50" t="str">
        <f ca="1">IFERROR(__xludf.DUMMYFUNCTION("""COMPUTED_VALUE"""),"2001 (45000-432-41000) НИЖНЕДН-УЗЕЛ - ЗНАМЕНКА")</f>
        <v>2001 (45000-432-41000) НИЖНЕДН-УЗЕЛ - ЗНАМЕНКА</v>
      </c>
      <c r="K50">
        <f ca="1">IFERROR(__xludf.DUMMYFUNCTION("""COMPUTED_VALUE"""),45000)</f>
        <v>45000</v>
      </c>
      <c r="L50" t="str">
        <f ca="1">IFERROR(__xludf.DUMMYFUNCTION("""COMPUTED_VALUE"""),"НИЖНЕДН-УЗЕЛ")</f>
        <v>НИЖНЕДН-УЗЕЛ</v>
      </c>
      <c r="M50" t="str">
        <f ca="1">IFERROR(__xludf.DUMMYFUNCTION("""COMPUTED_VALUE"""),"12.08.21 08-14")</f>
        <v>12.08.21 08-14</v>
      </c>
      <c r="N50" t="str">
        <f ca="1">IFERROR(__xludf.DUMMYFUNCTION("""COMPUTED_VALUE"""),"05 ФОРМ")</f>
        <v>05 ФОРМ</v>
      </c>
      <c r="O50">
        <f ca="1">IFERROR(__xludf.DUMMYFUNCTION("""COMPUTED_VALUE"""),41310)</f>
        <v>41310</v>
      </c>
      <c r="P50" t="str">
        <f ca="1">IFERROR(__xludf.DUMMYFUNCTION("""COMPUTED_VALUE"""),"АЛЕКСАНДР")</f>
        <v>АЛЕКСАНДР</v>
      </c>
      <c r="Q50">
        <f ca="1">IFERROR(__xludf.DUMMYFUNCTION("""COMPUTED_VALUE"""),49480)</f>
        <v>49480</v>
      </c>
      <c r="R50" t="str">
        <f ca="1">IFERROR(__xludf.DUMMYFUNCTION("""COMPUTED_VALUE"""),"СОЛЬ")</f>
        <v>СОЛЬ</v>
      </c>
      <c r="S50" t="str">
        <f ca="1">IFERROR(__xludf.DUMMYFUNCTION("""COMPUTED_VALUE"""),"10.08.21 17-40")</f>
        <v>10.08.21 17-40</v>
      </c>
      <c r="T50">
        <f ca="1">IFERROR(__xludf.DUMMYFUNCTION("""COMPUTED_VALUE"""),5377)</f>
        <v>5377</v>
      </c>
      <c r="U50" t="str">
        <f ca="1">IFERROR(__xludf.DUMMYFUNCTION("""COMPUTED_VALUE"""),"19.02.2024 ДР")</f>
        <v>19.02.2024 ДР</v>
      </c>
      <c r="Z50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50" t="str">
        <f ca="1">IFERROR(__xludf.DUMMYFUNCTION("""COMPUTED_VALUE"""),"12-9763")</f>
        <v>12-9763</v>
      </c>
      <c r="AB50" t="str">
        <f ca="1">IFERROR(__xludf.DUMMYFUNCTION("""COMPUTED_VALUE"""),"45 ПРИДН")</f>
        <v>45 ПРИДН</v>
      </c>
      <c r="AC50" t="str">
        <f ca="1">IFERROR(__xludf.DUMMYFUNCTION("""COMPUTED_VALUE"""),"45640 ВЕРХОВЦЕВО")</f>
        <v>45640 ВЕРХОВЦЕВО</v>
      </c>
      <c r="AD50" t="str">
        <f ca="1">IFERROR(__xludf.DUMMYFUNCTION("""COMPUTED_VALUE"""),"28.01.21 13-15")</f>
        <v>28.01.21 13-15</v>
      </c>
      <c r="AE50" t="str">
        <f ca="1">IFERROR(__xludf.DUMMYFUNCTION("""COMPUTED_VALUE"""),"570 ИCТEК КAЛЕНДАРНЫЙ CPOК ДEПOВCКОГО PEМOНТA")</f>
        <v>570 ИCТEК КAЛЕНДАРНЫЙ CPOК ДEПOВCКОГО PEМOНТA</v>
      </c>
      <c r="AF50" t="str">
        <f ca="1">IFERROR(__xludf.DUMMYFUNCTION("""COMPUTED_VALUE"""),"45 ПРИДН")</f>
        <v>45 ПРИДН</v>
      </c>
      <c r="AG50" t="str">
        <f ca="1">IFERROR(__xludf.DUMMYFUNCTION("""COMPUTED_VALUE"""),"45640 ВЕРХОВЦЕВО")</f>
        <v>45640 ВЕРХОВЦЕВО</v>
      </c>
      <c r="AH50" t="str">
        <f ca="1">IFERROR(__xludf.DUMMYFUNCTION("""COMPUTED_VALUE"""),"19.02.21 15-00")</f>
        <v>19.02.21 15-00</v>
      </c>
      <c r="AI50" s="21">
        <f ca="1">IFERROR(__xludf.DUMMYFUNCTION("""COMPUTED_VALUE"""),44420.3576504629)</f>
        <v>44420.357650462902</v>
      </c>
    </row>
    <row r="51" spans="1:35" ht="13" x14ac:dyDescent="0.15">
      <c r="A51">
        <f ca="1">IFERROR(__xludf.DUMMYFUNCTION("""COMPUTED_VALUE"""),104)</f>
        <v>104</v>
      </c>
      <c r="B51" t="str">
        <f ca="1">IFERROR(__xludf.DUMMYFUNCTION("""COMPUTED_VALUE"""),"Техрейс")</f>
        <v>Техрейс</v>
      </c>
      <c r="C51" t="str">
        <f ca="1">IFERROR(__xludf.DUMMYFUNCTION("""COMPUTED_VALUE"""),"НПП АРМЕТ")</f>
        <v>НПП АРМЕТ</v>
      </c>
      <c r="D51">
        <f ca="1">IFERROR(__xludf.DUMMYFUNCTION("""COMPUTED_VALUE"""),62784921)</f>
        <v>62784921</v>
      </c>
      <c r="E51" t="str">
        <f ca="1">IFERROR(__xludf.DUMMYFUNCTION("""COMPUTED_VALUE"""),"60 ПОЛУВАГОНЫ")</f>
        <v>60 ПОЛУВАГОНЫ</v>
      </c>
      <c r="F51">
        <f ca="1">IFERROR(__xludf.DUMMYFUNCTION("""COMPUTED_VALUE"""),16120)</f>
        <v>16120</v>
      </c>
      <c r="G51" t="str">
        <f ca="1">IFERROR(__xludf.DUMMYFUNCTION("""COMPUTED_VALUE"""),"УГОЛЬ КАМЕН ПР")</f>
        <v>УГОЛЬ КАМЕН ПР</v>
      </c>
      <c r="H51">
        <f ca="1">IFERROR(__xludf.DUMMYFUNCTION("""COMPUTED_VALUE"""),70)</f>
        <v>70</v>
      </c>
      <c r="I51">
        <f ca="1">IFERROR(__xludf.DUMMYFUNCTION("""COMPUTED_VALUE"""),5734)</f>
        <v>5734</v>
      </c>
      <c r="J51" t="str">
        <f ca="1">IFERROR(__xludf.DUMMYFUNCTION("""COMPUTED_VALUE"""),"3611 (48210-063-45000) ГРОДОВКА - НИЖНЕДН-УЗЕЛ")</f>
        <v>3611 (48210-063-45000) ГРОДОВКА - НИЖНЕДН-УЗЕЛ</v>
      </c>
      <c r="K51">
        <f ca="1">IFERROR(__xludf.DUMMYFUNCTION("""COMPUTED_VALUE"""),48200)</f>
        <v>48200</v>
      </c>
      <c r="L51" t="str">
        <f ca="1">IFERROR(__xludf.DUMMYFUNCTION("""COMPUTED_VALUE"""),"ПОКРОВСК")</f>
        <v>ПОКРОВСК</v>
      </c>
      <c r="M51" t="str">
        <f ca="1">IFERROR(__xludf.DUMMYFUNCTION("""COMPUTED_VALUE"""),"12.08.21 06-55")</f>
        <v>12.08.21 06-55</v>
      </c>
      <c r="N51" t="str">
        <f ca="1">IFERROR(__xludf.DUMMYFUNCTION("""COMPUTED_VALUE"""),"01 ПРИБ")</f>
        <v>01 ПРИБ</v>
      </c>
      <c r="O51">
        <f ca="1">IFERROR(__xludf.DUMMYFUNCTION("""COMPUTED_VALUE"""),33010)</f>
        <v>33010</v>
      </c>
      <c r="P51" t="str">
        <f ca="1">IFERROR(__xludf.DUMMYFUNCTION("""COMPUTED_VALUE"""),"ВОЛОЧИСК")</f>
        <v>ВОЛОЧИСК</v>
      </c>
      <c r="Q51">
        <f ca="1">IFERROR(__xludf.DUMMYFUNCTION("""COMPUTED_VALUE"""),48220)</f>
        <v>48220</v>
      </c>
      <c r="R51" t="str">
        <f ca="1">IFERROR(__xludf.DUMMYFUNCTION("""COMPUTED_VALUE"""),"НОВОГРОДОВКА")</f>
        <v>НОВОГРОДОВКА</v>
      </c>
      <c r="S51" t="str">
        <f ca="1">IFERROR(__xludf.DUMMYFUNCTION("""COMPUTED_VALUE"""),"10.08.21 19-15")</f>
        <v>10.08.21 19-15</v>
      </c>
      <c r="T51">
        <f ca="1">IFERROR(__xludf.DUMMYFUNCTION("""COMPUTED_VALUE"""),1816)</f>
        <v>1816</v>
      </c>
      <c r="U51" t="str">
        <f ca="1">IFERROR(__xludf.DUMMYFUNCTION("""COMPUTED_VALUE"""),"02.02.2024 ДР")</f>
        <v>02.02.2024 ДР</v>
      </c>
      <c r="Z51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51" t="str">
        <f ca="1">IFERROR(__xludf.DUMMYFUNCTION("""COMPUTED_VALUE"""),"12-9763")</f>
        <v>12-9763</v>
      </c>
      <c r="AB51" t="str">
        <f ca="1">IFERROR(__xludf.DUMMYFUNCTION("""COMPUTED_VALUE"""),"45 ПРИДН")</f>
        <v>45 ПРИДН</v>
      </c>
      <c r="AC51" t="str">
        <f ca="1">IFERROR(__xludf.DUMMYFUNCTION("""COMPUTED_VALUE"""),"45640 ВЕРХОВЦЕВО")</f>
        <v>45640 ВЕРХОВЦЕВО</v>
      </c>
      <c r="AD51" t="str">
        <f ca="1">IFERROR(__xludf.DUMMYFUNCTION("""COMPUTED_VALUE"""),"25.01.21 11-50")</f>
        <v>25.01.21 11-50</v>
      </c>
      <c r="AE51" t="str">
        <f ca="1">IFERROR(__xludf.DUMMYFUNCTION("""COMPUTED_VALUE"""),"570 ИCТEК КAЛЕНДАРНЫЙ CPOК ДEПOВCКОГО PEМOНТA")</f>
        <v>570 ИCТEК КAЛЕНДАРНЫЙ CPOК ДEПOВCКОГО PEМOНТA</v>
      </c>
      <c r="AF51" t="str">
        <f ca="1">IFERROR(__xludf.DUMMYFUNCTION("""COMPUTED_VALUE"""),"45 ПРИДН")</f>
        <v>45 ПРИДН</v>
      </c>
      <c r="AG51" t="str">
        <f ca="1">IFERROR(__xludf.DUMMYFUNCTION("""COMPUTED_VALUE"""),"45640 ВЕРХОВЦЕВО")</f>
        <v>45640 ВЕРХОВЦЕВО</v>
      </c>
      <c r="AH51" t="str">
        <f ca="1">IFERROR(__xludf.DUMMYFUNCTION("""COMPUTED_VALUE"""),"02.02.21 14-40")</f>
        <v>02.02.21 14-40</v>
      </c>
      <c r="AI51" s="21">
        <f ca="1">IFERROR(__xludf.DUMMYFUNCTION("""COMPUTED_VALUE"""),44420.3576504629)</f>
        <v>44420.357650462902</v>
      </c>
    </row>
    <row r="52" spans="1:35" ht="13" x14ac:dyDescent="0.15">
      <c r="A52">
        <f ca="1">IFERROR(__xludf.DUMMYFUNCTION("""COMPUTED_VALUE"""),105)</f>
        <v>105</v>
      </c>
      <c r="B52" t="str">
        <f ca="1">IFERROR(__xludf.DUMMYFUNCTION("""COMPUTED_VALUE"""),"Техрейс")</f>
        <v>Техрейс</v>
      </c>
      <c r="C52" t="str">
        <f ca="1">IFERROR(__xludf.DUMMYFUNCTION("""COMPUTED_VALUE"""),"НПП АРМЕТ")</f>
        <v>НПП АРМЕТ</v>
      </c>
      <c r="D52">
        <f ca="1">IFERROR(__xludf.DUMMYFUNCTION("""COMPUTED_VALUE"""),62784954)</f>
        <v>62784954</v>
      </c>
      <c r="E52" t="str">
        <f ca="1">IFERROR(__xludf.DUMMYFUNCTION("""COMPUTED_VALUE"""),"60 ПОЛУВАГОНЫ")</f>
        <v>60 ПОЛУВАГОНЫ</v>
      </c>
      <c r="F52">
        <f ca="1">IFERROR(__xludf.DUMMYFUNCTION("""COMPUTED_VALUE"""),14109)</f>
        <v>14109</v>
      </c>
      <c r="G52" t="str">
        <f ca="1">IFERROR(__xludf.DUMMYFUNCTION("""COMPUTED_VALUE"""),"ГЕМАТИТ")</f>
        <v>ГЕМАТИТ</v>
      </c>
      <c r="H52">
        <f ca="1">IFERROR(__xludf.DUMMYFUNCTION("""COMPUTED_VALUE"""),70)</f>
        <v>70</v>
      </c>
      <c r="I52">
        <f ca="1">IFERROR(__xludf.DUMMYFUNCTION("""COMPUTED_VALUE"""),5786)</f>
        <v>5786</v>
      </c>
      <c r="J52" t="str">
        <f ca="1">IFERROR(__xludf.DUMMYFUNCTION("""COMPUTED_VALUE"""),"1609 (46720-447-40050) КРИВОЙ РОГ - БЕРЕГОВАЯ")</f>
        <v>1609 (46720-447-40050) КРИВОЙ РОГ - БЕРЕГОВАЯ</v>
      </c>
      <c r="K52">
        <f ca="1">IFERROR(__xludf.DUMMYFUNCTION("""COMPUTED_VALUE"""),40050)</f>
        <v>40050</v>
      </c>
      <c r="L52" t="str">
        <f ca="1">IFERROR(__xludf.DUMMYFUNCTION("""COMPUTED_VALUE"""),"БЕРЕГОВАЯ")</f>
        <v>БЕРЕГОВАЯ</v>
      </c>
      <c r="M52" t="str">
        <f ca="1">IFERROR(__xludf.DUMMYFUNCTION("""COMPUTED_VALUE"""),"12.08.21 07-31")</f>
        <v>12.08.21 07-31</v>
      </c>
      <c r="N52" t="str">
        <f ca="1">IFERROR(__xludf.DUMMYFUNCTION("""COMPUTED_VALUE"""),"04 РАСФ")</f>
        <v>04 РАСФ</v>
      </c>
      <c r="O52">
        <f ca="1">IFERROR(__xludf.DUMMYFUNCTION("""COMPUTED_VALUE"""),40060)</f>
        <v>40060</v>
      </c>
      <c r="P52" t="str">
        <f ca="1">IFERROR(__xludf.DUMMYFUNCTION("""COMPUTED_VALUE"""),"БЕРЕГОВАЯ-Э")</f>
        <v>БЕРЕГОВАЯ-Э</v>
      </c>
      <c r="Q52">
        <f ca="1">IFERROR(__xludf.DUMMYFUNCTION("""COMPUTED_VALUE"""),46720)</f>
        <v>46720</v>
      </c>
      <c r="R52" t="str">
        <f ca="1">IFERROR(__xludf.DUMMYFUNCTION("""COMPUTED_VALUE"""),"КРИВОЙ РОГ")</f>
        <v>КРИВОЙ РОГ</v>
      </c>
      <c r="S52" t="str">
        <f ca="1">IFERROR(__xludf.DUMMYFUNCTION("""COMPUTED_VALUE"""),"11.08.21 03-10")</f>
        <v>11.08.21 03-10</v>
      </c>
      <c r="T52">
        <f ca="1">IFERROR(__xludf.DUMMYFUNCTION("""COMPUTED_VALUE"""),5343)</f>
        <v>5343</v>
      </c>
      <c r="U52" t="str">
        <f ca="1">IFERROR(__xludf.DUMMYFUNCTION("""COMPUTED_VALUE"""),"04.02.2024 ДР")</f>
        <v>04.02.2024 ДР</v>
      </c>
      <c r="Z52" t="str">
        <f ca="1">IFERROR(__xludf.DUMMYFUNCTION("""COMPUTED_VALUE"""),"ООО «НАУЧНО-ПРОИЗВОДСТВЕННОЕ ПРЕДПРИЯТИЕ «АРМЕТ»")</f>
        <v>ООО «НАУЧНО-ПРОИЗВОДСТВЕННОЕ ПРЕДПРИЯТИЕ «АРМЕТ»</v>
      </c>
      <c r="AA52" t="str">
        <f ca="1">IFERROR(__xludf.DUMMYFUNCTION("""COMPUTED_VALUE"""),"12-9763")</f>
        <v>12-9763</v>
      </c>
      <c r="AB52" t="str">
        <f ca="1">IFERROR(__xludf.DUMMYFUNCTION("""COMPUTED_VALUE"""),"45 ПРИДН")</f>
        <v>45 ПРИДН</v>
      </c>
      <c r="AC52" t="str">
        <f ca="1">IFERROR(__xludf.DUMMYFUNCTION("""COMPUTED_VALUE"""),"45640 ВЕРХОВЦЕВО")</f>
        <v>45640 ВЕРХОВЦЕВО</v>
      </c>
      <c r="AD52" t="str">
        <f ca="1">IFERROR(__xludf.DUMMYFUNCTION("""COMPUTED_VALUE"""),"02.02.21 00-40")</f>
        <v>02.02.21 00-40</v>
      </c>
      <c r="AE52" t="str">
        <f ca="1">IFERROR(__xludf.DUMMYFUNCTION("""COMPUTED_VALUE"""),"570 ИCТEК КAЛЕНДАРНЫЙ CPOК ДEПOВCКОГО PEМOНТA")</f>
        <v>570 ИCТEК КAЛЕНДАРНЫЙ CPOК ДEПOВCКОГО PEМOНТA</v>
      </c>
      <c r="AF52" t="str">
        <f ca="1">IFERROR(__xludf.DUMMYFUNCTION("""COMPUTED_VALUE"""),"45 ПРИДН")</f>
        <v>45 ПРИДН</v>
      </c>
      <c r="AG52" t="str">
        <f ca="1">IFERROR(__xludf.DUMMYFUNCTION("""COMPUTED_VALUE"""),"45640 ВЕРХОВЦЕВО")</f>
        <v>45640 ВЕРХОВЦЕВО</v>
      </c>
      <c r="AH52" t="str">
        <f ca="1">IFERROR(__xludf.DUMMYFUNCTION("""COMPUTED_VALUE"""),"04.02.21 14-30")</f>
        <v>04.02.21 14-30</v>
      </c>
      <c r="AI52" s="21">
        <f ca="1">IFERROR(__xludf.DUMMYFUNCTION("""COMPUTED_VALUE"""),44420.3576504629)</f>
        <v>44420.357650462902</v>
      </c>
    </row>
    <row r="53" spans="1:35" ht="13" x14ac:dyDescent="0.15">
      <c r="A53">
        <f ca="1">IFERROR(__xludf.DUMMYFUNCTION("""COMPUTED_VALUE"""),160)</f>
        <v>160</v>
      </c>
      <c r="B53" t="str">
        <f ca="1">IFERROR(__xludf.DUMMYFUNCTION("""COMPUTED_VALUE"""),"Енко Ентерпрайз")</f>
        <v>Енко Ентерпрайз</v>
      </c>
      <c r="C53" t="str">
        <f ca="1">IFERROR(__xludf.DUMMYFUNCTION("""COMPUTED_VALUE"""),"Индустриальные решения")</f>
        <v>Индустриальные решения</v>
      </c>
      <c r="D53">
        <f ca="1">IFERROR(__xludf.DUMMYFUNCTION("""COMPUTED_VALUE"""),63469589)</f>
        <v>63469589</v>
      </c>
      <c r="E53" t="str">
        <f ca="1">IFERROR(__xludf.DUMMYFUNCTION("""COMPUTED_VALUE"""),"60 ПОЛУВАГОНЫ")</f>
        <v>60 ПОЛУВАГОНЫ</v>
      </c>
      <c r="F53">
        <f ca="1">IFERROR(__xludf.DUMMYFUNCTION("""COMPUTED_VALUE"""),42103)</f>
        <v>42103</v>
      </c>
      <c r="G53" t="str">
        <f ca="1">IFERROR(__xludf.DUMMYFUNCTION("""COMPUTED_VALUE"""),"ВАГОНЫ ЖД СВ")</f>
        <v>ВАГОНЫ ЖД СВ</v>
      </c>
      <c r="H53">
        <f ca="1">IFERROR(__xludf.DUMMYFUNCTION("""COMPUTED_VALUE"""),0)</f>
        <v>0</v>
      </c>
      <c r="I53">
        <f ca="1">IFERROR(__xludf.DUMMYFUNCTION("""COMPUTED_VALUE"""),5986)</f>
        <v>5986</v>
      </c>
      <c r="J53" t="str">
        <f ca="1">IFERROR(__xludf.DUMMYFUNCTION("""COMPUTED_VALUE"""),"3721 (40510-314-40020) ОДЕССА-ЗАС I - ОДЕС-ТОВАРН")</f>
        <v>3721 (40510-314-40020) ОДЕССА-ЗАС I - ОДЕС-ТОВАРН</v>
      </c>
      <c r="K53">
        <f ca="1">IFERROR(__xludf.DUMMYFUNCTION("""COMPUTED_VALUE"""),40130)</f>
        <v>40130</v>
      </c>
      <c r="L53" t="str">
        <f ca="1">IFERROR(__xludf.DUMMYFUNCTION("""COMPUTED_VALUE"""),"ОДЕС-ЗАС II")</f>
        <v>ОДЕС-ЗАС II</v>
      </c>
      <c r="M53" t="str">
        <f ca="1">IFERROR(__xludf.DUMMYFUNCTION("""COMPUTED_VALUE"""),"11.08.21 14-50")</f>
        <v>11.08.21 14-50</v>
      </c>
      <c r="N53" t="str">
        <f ca="1">IFERROR(__xludf.DUMMYFUNCTION("""COMPUTED_VALUE"""),"86 ОДПВ")</f>
        <v>86 ОДПВ</v>
      </c>
      <c r="O53">
        <f ca="1">IFERROR(__xludf.DUMMYFUNCTION("""COMPUTED_VALUE"""),41190)</f>
        <v>41190</v>
      </c>
      <c r="P53" t="str">
        <f ca="1">IFERROR(__xludf.DUMMYFUNCTION("""COMPUTED_VALUE"""),"ПОМОШНАЯ")</f>
        <v>ПОМОШНАЯ</v>
      </c>
      <c r="Q53">
        <f ca="1">IFERROR(__xludf.DUMMYFUNCTION("""COMPUTED_VALUE"""),40130)</f>
        <v>40130</v>
      </c>
      <c r="R53" t="str">
        <f ca="1">IFERROR(__xludf.DUMMYFUNCTION("""COMPUTED_VALUE"""),"ОДЕС-ЗАС II")</f>
        <v>ОДЕС-ЗАС II</v>
      </c>
      <c r="S53" t="str">
        <f ca="1">IFERROR(__xludf.DUMMYFUNCTION("""COMPUTED_VALUE"""),"11.08.21 14-50")</f>
        <v>11.08.21 14-50</v>
      </c>
      <c r="T53">
        <f ca="1">IFERROR(__xludf.DUMMYFUNCTION("""COMPUTED_VALUE"""),1879)</f>
        <v>1879</v>
      </c>
      <c r="U53" t="str">
        <f ca="1">IFERROR(__xludf.DUMMYFUNCTION("""COMPUTED_VALUE"""),"31.03.2024 ДР")</f>
        <v>31.03.2024 ДР</v>
      </c>
      <c r="Z53" t="str">
        <f ca="1">IFERROR(__xludf.DUMMYFUNCTION("""COMPUTED_VALUE"""),"ООО ""ИНДУСТРИАЛЬНЫЕ РЕШЕНИЯ""")</f>
        <v>ООО "ИНДУСТРИАЛЬНЫЕ РЕШЕНИЯ"</v>
      </c>
      <c r="AA53" t="str">
        <f ca="1">IFERROR(__xludf.DUMMYFUNCTION("""COMPUTED_VALUE"""),"12-783")</f>
        <v>12-783</v>
      </c>
      <c r="AB53" t="str">
        <f ca="1">IFERROR(__xludf.DUMMYFUNCTION("""COMPUTED_VALUE"""),"45 ПРИДН")</f>
        <v>45 ПРИДН</v>
      </c>
      <c r="AC53" t="str">
        <f ca="1">IFERROR(__xludf.DUMMYFUNCTION("""COMPUTED_VALUE"""),"45640 ВЕРХОВЦЕВО")</f>
        <v>45640 ВЕРХОВЦЕВО</v>
      </c>
      <c r="AD53" t="str">
        <f ca="1">IFERROR(__xludf.DUMMYFUNCTION("""COMPUTED_VALUE"""),"28.03.21 16-25")</f>
        <v>28.03.21 16-25</v>
      </c>
      <c r="AE53" t="str">
        <f ca="1">IFERROR(__xludf.DUMMYFUNCTION("""COMPUTED_VALUE"""),"570 ИCТEК КAЛЕНДАРНЫЙ CPOК ДEПOВCКОГО PEМOНТA")</f>
        <v>570 ИCТEК КAЛЕНДАРНЫЙ CPOК ДEПOВCКОГО PEМOНТA</v>
      </c>
      <c r="AF53" t="str">
        <f ca="1">IFERROR(__xludf.DUMMYFUNCTION("""COMPUTED_VALUE"""),"45 ПРИДН")</f>
        <v>45 ПРИДН</v>
      </c>
      <c r="AG53" t="str">
        <f ca="1">IFERROR(__xludf.DUMMYFUNCTION("""COMPUTED_VALUE"""),"45640 ВЕРХОВЦЕВО")</f>
        <v>45640 ВЕРХОВЦЕВО</v>
      </c>
      <c r="AH53" t="str">
        <f ca="1">IFERROR(__xludf.DUMMYFUNCTION("""COMPUTED_VALUE"""),"31.03.21 13-50")</f>
        <v>31.03.21 13-50</v>
      </c>
      <c r="AI53" s="21">
        <f ca="1">IFERROR(__xludf.DUMMYFUNCTION("""COMPUTED_VALUE"""),44420.3576504629)</f>
        <v>44420.357650462902</v>
      </c>
    </row>
    <row r="54" spans="1:35" ht="13" x14ac:dyDescent="0.15">
      <c r="A54">
        <f ca="1">IFERROR(__xludf.DUMMYFUNCTION("""COMPUTED_VALUE"""),161)</f>
        <v>161</v>
      </c>
      <c r="B54" t="str">
        <f ca="1">IFERROR(__xludf.DUMMYFUNCTION("""COMPUTED_VALUE"""),"Подольский цемент")</f>
        <v>Подольский цемент</v>
      </c>
      <c r="C54" t="str">
        <f ca="1">IFERROR(__xludf.DUMMYFUNCTION("""COMPUTED_VALUE"""),"Индустриальные решения")</f>
        <v>Индустриальные решения</v>
      </c>
      <c r="D54">
        <f ca="1">IFERROR(__xludf.DUMMYFUNCTION("""COMPUTED_VALUE"""),63469563)</f>
        <v>63469563</v>
      </c>
      <c r="E54" t="str">
        <f ca="1">IFERROR(__xludf.DUMMYFUNCTION("""COMPUTED_VALUE"""),"60 ПОЛУВАГОНЫ")</f>
        <v>60 ПОЛУВАГОНЫ</v>
      </c>
      <c r="F54">
        <f ca="1">IFERROR(__xludf.DUMMYFUNCTION("""COMPUTED_VALUE"""),24500)</f>
        <v>24500</v>
      </c>
      <c r="G54" t="str">
        <f ca="1">IFERROR(__xludf.DUMMYFUNCTION("""COMPUTED_VALUE"""),"КЛИНКЕР ЦЕМЕНТ")</f>
        <v>КЛИНКЕР ЦЕМЕНТ</v>
      </c>
      <c r="H54">
        <f ca="1">IFERROR(__xludf.DUMMYFUNCTION("""COMPUTED_VALUE"""),69)</f>
        <v>69</v>
      </c>
      <c r="I54">
        <f ca="1">IFERROR(__xludf.DUMMYFUNCTION("""COMPUTED_VALUE"""),1489)</f>
        <v>1489</v>
      </c>
      <c r="J54" t="str">
        <f ca="1">IFERROR(__xludf.DUMMYFUNCTION("""COMPUTED_VALUE"""),"9511 (33300-030-37780) ГУМЕНЦЫ - НИКОЛАЕВ-ДН")</f>
        <v>9511 (33300-030-37780) ГУМЕНЦЫ - НИКОЛАЕВ-ДН</v>
      </c>
      <c r="K54">
        <f ca="1">IFERROR(__xludf.DUMMYFUNCTION("""COMPUTED_VALUE"""),37780)</f>
        <v>37780</v>
      </c>
      <c r="L54" t="str">
        <f ca="1">IFERROR(__xludf.DUMMYFUNCTION("""COMPUTED_VALUE"""),"НИКОЛАЕВ-ДН")</f>
        <v>НИКОЛАЕВ-ДН</v>
      </c>
      <c r="M54" t="str">
        <f ca="1">IFERROR(__xludf.DUMMYFUNCTION("""COMPUTED_VALUE"""),"10.08.21 17-40")</f>
        <v>10.08.21 17-40</v>
      </c>
      <c r="N54" t="str">
        <f ca="1">IFERROR(__xludf.DUMMYFUNCTION("""COMPUTED_VALUE"""),"21 ВЫГ2")</f>
        <v>21 ВЫГ2</v>
      </c>
      <c r="O54">
        <f ca="1">IFERROR(__xludf.DUMMYFUNCTION("""COMPUTED_VALUE"""),37780)</f>
        <v>37780</v>
      </c>
      <c r="P54" t="str">
        <f ca="1">IFERROR(__xludf.DUMMYFUNCTION("""COMPUTED_VALUE"""),"НИКОЛАЕВ-ДН")</f>
        <v>НИКОЛАЕВ-ДН</v>
      </c>
      <c r="Q54">
        <f ca="1">IFERROR(__xludf.DUMMYFUNCTION("""COMPUTED_VALUE"""),33300)</f>
        <v>33300</v>
      </c>
      <c r="R54" t="str">
        <f ca="1">IFERROR(__xludf.DUMMYFUNCTION("""COMPUTED_VALUE"""),"ГУМЕНЦЫ")</f>
        <v>ГУМЕНЦЫ</v>
      </c>
      <c r="S54" t="str">
        <f ca="1">IFERROR(__xludf.DUMMYFUNCTION("""COMPUTED_VALUE"""),"09.08.21 10-00")</f>
        <v>09.08.21 10-00</v>
      </c>
      <c r="U54" t="str">
        <f ca="1">IFERROR(__xludf.DUMMYFUNCTION("""COMPUTED_VALUE"""),"23.03.2024 ДР")</f>
        <v>23.03.2024 ДР</v>
      </c>
      <c r="Z54" t="str">
        <f ca="1">IFERROR(__xludf.DUMMYFUNCTION("""COMPUTED_VALUE"""),"ООО ""ИНДУСТРИАЛЬНЫЕ РЕШЕНИЯ""")</f>
        <v>ООО "ИНДУСТРИАЛЬНЫЕ РЕШЕНИЯ"</v>
      </c>
      <c r="AA54" t="str">
        <f ca="1">IFERROR(__xludf.DUMMYFUNCTION("""COMPUTED_VALUE"""),"12-783")</f>
        <v>12-783</v>
      </c>
      <c r="AB54" t="str">
        <f ca="1">IFERROR(__xludf.DUMMYFUNCTION("""COMPUTED_VALUE"""),"45 ПРИДН")</f>
        <v>45 ПРИДН</v>
      </c>
      <c r="AC54" t="str">
        <f ca="1">IFERROR(__xludf.DUMMYFUNCTION("""COMPUTED_VALUE"""),"45640 ВЕРХОВЦЕВО")</f>
        <v>45640 ВЕРХОВЦЕВО</v>
      </c>
      <c r="AD54" t="str">
        <f ca="1">IFERROR(__xludf.DUMMYFUNCTION("""COMPUTED_VALUE"""),"18.03.21 20-10")</f>
        <v>18.03.21 20-10</v>
      </c>
      <c r="AE54" t="str">
        <f ca="1">IFERROR(__xludf.DUMMYFUNCTION("""COMPUTED_VALUE"""),"570 ИCТEК КAЛЕНДАРНЫЙ CPOК ДEПOВCКОГО PEМOНТA")</f>
        <v>570 ИCТEК КAЛЕНДАРНЫЙ CPOК ДEПOВCКОГО PEМOНТA</v>
      </c>
      <c r="AF54" t="str">
        <f ca="1">IFERROR(__xludf.DUMMYFUNCTION("""COMPUTED_VALUE"""),"45 ПРИДН")</f>
        <v>45 ПРИДН</v>
      </c>
      <c r="AG54" t="str">
        <f ca="1">IFERROR(__xludf.DUMMYFUNCTION("""COMPUTED_VALUE"""),"45640 ВЕРХОВЦЕВО")</f>
        <v>45640 ВЕРХОВЦЕВО</v>
      </c>
      <c r="AH54" t="str">
        <f ca="1">IFERROR(__xludf.DUMMYFUNCTION("""COMPUTED_VALUE"""),"23.03.21 16-00")</f>
        <v>23.03.21 16-00</v>
      </c>
      <c r="AI54" s="21">
        <f ca="1">IFERROR(__xludf.DUMMYFUNCTION("""COMPUTED_VALUE"""),44420.3576504629)</f>
        <v>44420.357650462902</v>
      </c>
    </row>
    <row r="55" spans="1:35" ht="13" x14ac:dyDescent="0.15">
      <c r="A55">
        <f ca="1">IFERROR(__xludf.DUMMYFUNCTION("""COMPUTED_VALUE"""),162)</f>
        <v>162</v>
      </c>
      <c r="B55" t="str">
        <f ca="1">IFERROR(__xludf.DUMMYFUNCTION("""COMPUTED_VALUE"""),"Техрейс")</f>
        <v>Техрейс</v>
      </c>
      <c r="C55" t="str">
        <f ca="1">IFERROR(__xludf.DUMMYFUNCTION("""COMPUTED_VALUE"""),"ФМС груп")</f>
        <v>ФМС груп</v>
      </c>
      <c r="D55">
        <f ca="1">IFERROR(__xludf.DUMMYFUNCTION("""COMPUTED_VALUE"""),63469639)</f>
        <v>63469639</v>
      </c>
      <c r="E55" t="str">
        <f ca="1">IFERROR(__xludf.DUMMYFUNCTION("""COMPUTED_VALUE"""),"60 ПОЛУВАГОНЫ")</f>
        <v>60 ПОЛУВАГОНЫ</v>
      </c>
      <c r="F55">
        <f ca="1">IFERROR(__xludf.DUMMYFUNCTION("""COMPUTED_VALUE"""),17110)</f>
        <v>17110</v>
      </c>
      <c r="G55" t="str">
        <f ca="1">IFERROR(__xludf.DUMMYFUNCTION("""COMPUTED_VALUE"""),"МЕЛОЧЬ КОКСОВ")</f>
        <v>МЕЛОЧЬ КОКСОВ</v>
      </c>
      <c r="H55">
        <f ca="1">IFERROR(__xludf.DUMMYFUNCTION("""COMPUTED_VALUE"""),54)</f>
        <v>54</v>
      </c>
      <c r="I55">
        <f ca="1">IFERROR(__xludf.DUMMYFUNCTION("""COMPUTED_VALUE"""),3134)</f>
        <v>3134</v>
      </c>
      <c r="J55" t="str">
        <f ca="1">IFERROR(__xludf.DUMMYFUNCTION("""COMPUTED_VALUE"""),"2657 (46000-082-48620) ЗАПОРОЖ-ЛЕВ - ВОЛНОВАХА")</f>
        <v>2657 (46000-082-48620) ЗАПОРОЖ-ЛЕВ - ВОЛНОВАХА</v>
      </c>
      <c r="K55">
        <f ca="1">IFERROR(__xludf.DUMMYFUNCTION("""COMPUTED_VALUE"""),46000)</f>
        <v>46000</v>
      </c>
      <c r="L55" t="str">
        <f ca="1">IFERROR(__xludf.DUMMYFUNCTION("""COMPUTED_VALUE"""),"ЗАПОРОЖ-ЛЕВ")</f>
        <v>ЗАПОРОЖ-ЛЕВ</v>
      </c>
      <c r="M55" t="str">
        <f ca="1">IFERROR(__xludf.DUMMYFUNCTION("""COMPUTED_VALUE"""),"11.08.21 18-43")</f>
        <v>11.08.21 18-43</v>
      </c>
      <c r="N55" t="str">
        <f ca="1">IFERROR(__xludf.DUMMYFUNCTION("""COMPUTED_VALUE"""),"85 ПРСТ")</f>
        <v>85 ПРСТ</v>
      </c>
      <c r="O55">
        <f ca="1">IFERROR(__xludf.DUMMYFUNCTION("""COMPUTED_VALUE"""),48500)</f>
        <v>48500</v>
      </c>
      <c r="P55" t="str">
        <f ca="1">IFERROR(__xludf.DUMMYFUNCTION("""COMPUTED_VALUE"""),"АСЛАНОВО")</f>
        <v>АСЛАНОВО</v>
      </c>
      <c r="Q55">
        <f ca="1">IFERROR(__xludf.DUMMYFUNCTION("""COMPUTED_VALUE"""),46720)</f>
        <v>46720</v>
      </c>
      <c r="R55" t="str">
        <f ca="1">IFERROR(__xludf.DUMMYFUNCTION("""COMPUTED_VALUE"""),"КРИВОЙ РОГ")</f>
        <v>КРИВОЙ РОГ</v>
      </c>
      <c r="S55" t="str">
        <f ca="1">IFERROR(__xludf.DUMMYFUNCTION("""COMPUTED_VALUE"""),"10.08.21 18-30")</f>
        <v>10.08.21 18-30</v>
      </c>
      <c r="T55">
        <f ca="1">IFERROR(__xludf.DUMMYFUNCTION("""COMPUTED_VALUE"""),5343)</f>
        <v>5343</v>
      </c>
      <c r="U55" t="str">
        <f ca="1">IFERROR(__xludf.DUMMYFUNCTION("""COMPUTED_VALUE"""),"20.04.2024 ДР")</f>
        <v>20.04.2024 ДР</v>
      </c>
      <c r="Z55" t="str">
        <f ca="1">IFERROR(__xludf.DUMMYFUNCTION("""COMPUTED_VALUE"""),"ООО ""Ф.М.С. групп""")</f>
        <v>ООО "Ф.М.С. групп"</v>
      </c>
      <c r="AA55" t="str">
        <f ca="1">IFERROR(__xludf.DUMMYFUNCTION("""COMPUTED_VALUE"""),"12-783")</f>
        <v>12-783</v>
      </c>
      <c r="AB55" t="str">
        <f ca="1">IFERROR(__xludf.DUMMYFUNCTION("""COMPUTED_VALUE"""),"35 ЛЬВ")</f>
        <v>35 ЛЬВ</v>
      </c>
      <c r="AC55" t="str">
        <f ca="1">IFERROR(__xludf.DUMMYFUNCTION("""COMPUTED_VALUE"""),"36000 ТЕРНОПОЛЬ")</f>
        <v>36000 ТЕРНОПОЛЬ</v>
      </c>
      <c r="AD55" t="str">
        <f ca="1">IFERROR(__xludf.DUMMYFUNCTION("""COMPUTED_VALUE"""),"05.04.21 13-50")</f>
        <v>05.04.21 13-50</v>
      </c>
      <c r="AE55" t="str">
        <f ca="1">IFERROR(__xludf.DUMMYFUNCTION("""COMPUTED_VALUE"""),"570 ИCТEК КAЛЕНДАРНЫЙ CPOК ДEПOВCКОГО PEМOНТA")</f>
        <v>570 ИCТEК КAЛЕНДАРНЫЙ CPOК ДEПOВCКОГО PEМOНТA</v>
      </c>
      <c r="AF55" t="str">
        <f ca="1">IFERROR(__xludf.DUMMYFUNCTION("""COMPUTED_VALUE"""),"35 ЛЬВ")</f>
        <v>35 ЛЬВ</v>
      </c>
      <c r="AG55" t="str">
        <f ca="1">IFERROR(__xludf.DUMMYFUNCTION("""COMPUTED_VALUE"""),"36000 ТЕРНОПОЛЬ")</f>
        <v>36000 ТЕРНОПОЛЬ</v>
      </c>
      <c r="AH55" t="str">
        <f ca="1">IFERROR(__xludf.DUMMYFUNCTION("""COMPUTED_VALUE"""),"20.04.21 14-10")</f>
        <v>20.04.21 14-10</v>
      </c>
      <c r="AI55" s="21">
        <f ca="1">IFERROR(__xludf.DUMMYFUNCTION("""COMPUTED_VALUE"""),44420.3576504629)</f>
        <v>44420.357650462902</v>
      </c>
    </row>
    <row r="56" spans="1:35" ht="13" x14ac:dyDescent="0.15">
      <c r="A56">
        <f ca="1">IFERROR(__xludf.DUMMYFUNCTION("""COMPUTED_VALUE"""),163)</f>
        <v>163</v>
      </c>
      <c r="B56" t="str">
        <f ca="1">IFERROR(__xludf.DUMMYFUNCTION("""COMPUTED_VALUE"""),"Енко Ентерпрайз")</f>
        <v>Енко Ентерпрайз</v>
      </c>
      <c r="C56" t="str">
        <f ca="1">IFERROR(__xludf.DUMMYFUNCTION("""COMPUTED_VALUE"""),"Индустриальные решения")</f>
        <v>Индустриальные решения</v>
      </c>
      <c r="D56">
        <f ca="1">IFERROR(__xludf.DUMMYFUNCTION("""COMPUTED_VALUE"""),63469571)</f>
        <v>63469571</v>
      </c>
      <c r="E56" t="str">
        <f ca="1">IFERROR(__xludf.DUMMYFUNCTION("""COMPUTED_VALUE"""),"60 ПОЛУВАГОНЫ")</f>
        <v>60 ПОЛУВАГОНЫ</v>
      </c>
      <c r="F56">
        <f ca="1">IFERROR(__xludf.DUMMYFUNCTION("""COMPUTED_VALUE"""),23225)</f>
        <v>23225</v>
      </c>
      <c r="G56" t="str">
        <f ca="1">IFERROR(__xludf.DUMMYFUNCTION("""COMPUTED_VALUE"""),"ОТСЕВ ГРАН КАМ")</f>
        <v>ОТСЕВ ГРАН КАМ</v>
      </c>
      <c r="H56">
        <f ca="1">IFERROR(__xludf.DUMMYFUNCTION("""COMPUTED_VALUE"""),70)</f>
        <v>70</v>
      </c>
      <c r="I56">
        <f ca="1">IFERROR(__xludf.DUMMYFUNCTION("""COMPUTED_VALUE"""),1879)</f>
        <v>1879</v>
      </c>
      <c r="J56" t="str">
        <f ca="1">IFERROR(__xludf.DUMMYFUNCTION("""COMPUTED_VALUE"""),"9501 (41190-338-40000) ПОМОШНАЯ - ОДЕССА-СОРТ")</f>
        <v>9501 (41190-338-40000) ПОМОШНАЯ - ОДЕССА-СОРТ</v>
      </c>
      <c r="K56">
        <f ca="1">IFERROR(__xludf.DUMMYFUNCTION("""COMPUTED_VALUE"""),40000)</f>
        <v>40000</v>
      </c>
      <c r="L56" t="str">
        <f ca="1">IFERROR(__xludf.DUMMYFUNCTION("""COMPUTED_VALUE"""),"ОДЕССА-СОРТ")</f>
        <v>ОДЕССА-СОРТ</v>
      </c>
      <c r="M56" t="str">
        <f ca="1">IFERROR(__xludf.DUMMYFUNCTION("""COMPUTED_VALUE"""),"11.08.21 07-13")</f>
        <v>11.08.21 07-13</v>
      </c>
      <c r="N56" t="str">
        <f ca="1">IFERROR(__xludf.DUMMYFUNCTION("""COMPUTED_VALUE"""),"51 ПРИБ")</f>
        <v>51 ПРИБ</v>
      </c>
      <c r="O56">
        <f ca="1">IFERROR(__xludf.DUMMYFUNCTION("""COMPUTED_VALUE"""),40130)</f>
        <v>40130</v>
      </c>
      <c r="P56" t="str">
        <f ca="1">IFERROR(__xludf.DUMMYFUNCTION("""COMPUTED_VALUE"""),"ОДЕС-ЗАС II")</f>
        <v>ОДЕС-ЗАС II</v>
      </c>
      <c r="Q56">
        <f ca="1">IFERROR(__xludf.DUMMYFUNCTION("""COMPUTED_VALUE"""),41180)</f>
        <v>41180</v>
      </c>
      <c r="R56" t="str">
        <f ca="1">IFERROR(__xludf.DUMMYFUNCTION("""COMPUTED_VALUE"""),"НОВОУКРАИНКА")</f>
        <v>НОВОУКРАИНКА</v>
      </c>
      <c r="S56" t="str">
        <f ca="1">IFERROR(__xludf.DUMMYFUNCTION("""COMPUTED_VALUE"""),"09.08.21 03-30")</f>
        <v>09.08.21 03-30</v>
      </c>
      <c r="T56">
        <f ca="1">IFERROR(__xludf.DUMMYFUNCTION("""COMPUTED_VALUE"""),5340)</f>
        <v>5340</v>
      </c>
      <c r="U56" t="str">
        <f ca="1">IFERROR(__xludf.DUMMYFUNCTION("""COMPUTED_VALUE"""),"09.04.2024 ДР")</f>
        <v>09.04.2024 ДР</v>
      </c>
      <c r="Z56" t="str">
        <f ca="1">IFERROR(__xludf.DUMMYFUNCTION("""COMPUTED_VALUE"""),"ООО ""ИНДУСТРИАЛЬНЫЕ РЕШЕНИЯ""")</f>
        <v>ООО "ИНДУСТРИАЛЬНЫЕ РЕШЕНИЯ"</v>
      </c>
      <c r="AA56" t="str">
        <f ca="1">IFERROR(__xludf.DUMMYFUNCTION("""COMPUTED_VALUE"""),"12-783")</f>
        <v>12-783</v>
      </c>
      <c r="AB56" t="str">
        <f ca="1">IFERROR(__xludf.DUMMYFUNCTION("""COMPUTED_VALUE"""),"45 ПРИДН")</f>
        <v>45 ПРИДН</v>
      </c>
      <c r="AC56" t="str">
        <f ca="1">IFERROR(__xludf.DUMMYFUNCTION("""COMPUTED_VALUE"""),"45640 ВЕРХОВЦЕВО")</f>
        <v>45640 ВЕРХОВЦЕВО</v>
      </c>
      <c r="AD56" t="str">
        <f ca="1">IFERROR(__xludf.DUMMYFUNCTION("""COMPUTED_VALUE"""),"07.04.21 20-10")</f>
        <v>07.04.21 20-10</v>
      </c>
      <c r="AE56" t="str">
        <f ca="1">IFERROR(__xludf.DUMMYFUNCTION("""COMPUTED_VALUE"""),"570 ИCТEК КAЛЕНДАРНЫЙ CPOК ДEПOВCКОГО PEМOНТA")</f>
        <v>570 ИCТEК КAЛЕНДАРНЫЙ CPOК ДEПOВCКОГО PEМOНТA</v>
      </c>
      <c r="AF56" t="str">
        <f ca="1">IFERROR(__xludf.DUMMYFUNCTION("""COMPUTED_VALUE"""),"45 ПРИДН")</f>
        <v>45 ПРИДН</v>
      </c>
      <c r="AG56" t="str">
        <f ca="1">IFERROR(__xludf.DUMMYFUNCTION("""COMPUTED_VALUE"""),"45640 ВЕРХОВЦЕВО")</f>
        <v>45640 ВЕРХОВЦЕВО</v>
      </c>
      <c r="AH56" t="str">
        <f ca="1">IFERROR(__xludf.DUMMYFUNCTION("""COMPUTED_VALUE"""),"09.04.21 14-40")</f>
        <v>09.04.21 14-40</v>
      </c>
      <c r="AI56" s="21">
        <f ca="1">IFERROR(__xludf.DUMMYFUNCTION("""COMPUTED_VALUE"""),44420.3576504629)</f>
        <v>44420.357650462902</v>
      </c>
    </row>
    <row r="57" spans="1:35" ht="13" x14ac:dyDescent="0.15">
      <c r="A57">
        <f ca="1">IFERROR(__xludf.DUMMYFUNCTION("""COMPUTED_VALUE"""),164)</f>
        <v>164</v>
      </c>
      <c r="B57" t="str">
        <f ca="1">IFERROR(__xludf.DUMMYFUNCTION("""COMPUTED_VALUE"""),"Лидер")</f>
        <v>Лидер</v>
      </c>
      <c r="C57" t="str">
        <f ca="1">IFERROR(__xludf.DUMMYFUNCTION("""COMPUTED_VALUE"""),"Индустриальные решения")</f>
        <v>Индустриальные решения</v>
      </c>
      <c r="D57">
        <f ca="1">IFERROR(__xludf.DUMMYFUNCTION("""COMPUTED_VALUE"""),63469548)</f>
        <v>63469548</v>
      </c>
      <c r="E57" t="str">
        <f ca="1">IFERROR(__xludf.DUMMYFUNCTION("""COMPUTED_VALUE"""),"60 ПОЛУВАГОНЫ")</f>
        <v>60 ПОЛУВАГОНЫ</v>
      </c>
      <c r="F57">
        <f ca="1">IFERROR(__xludf.DUMMYFUNCTION("""COMPUTED_VALUE"""),23107)</f>
        <v>23107</v>
      </c>
      <c r="G57" t="str">
        <f ca="1">IFERROR(__xludf.DUMMYFUNCTION("""COMPUTED_VALUE"""),"ПЕСОК СТРОИТ")</f>
        <v>ПЕСОК СТРОИТ</v>
      </c>
      <c r="H57">
        <f ca="1">IFERROR(__xludf.DUMMYFUNCTION("""COMPUTED_VALUE"""),69)</f>
        <v>69</v>
      </c>
      <c r="I57">
        <f ca="1">IFERROR(__xludf.DUMMYFUNCTION("""COMPUTED_VALUE"""),6302)</f>
        <v>6302</v>
      </c>
      <c r="J57" t="str">
        <f ca="1">IFERROR(__xludf.DUMMYFUNCTION("""COMPUTED_VALUE"""),"9511 (34710-285-36240) ШАТРИЩЕ - КОЗОВА")</f>
        <v>9511 (34710-285-36240) ШАТРИЩЕ - КОЗОВА</v>
      </c>
      <c r="K57">
        <f ca="1">IFERROR(__xludf.DUMMYFUNCTION("""COMPUTED_VALUE"""),36000)</f>
        <v>36000</v>
      </c>
      <c r="L57" t="str">
        <f ca="1">IFERROR(__xludf.DUMMYFUNCTION("""COMPUTED_VALUE"""),"ТЕРНОПОЛЬ")</f>
        <v>ТЕРНОПОЛЬ</v>
      </c>
      <c r="M57" t="str">
        <f ca="1">IFERROR(__xludf.DUMMYFUNCTION("""COMPUTED_VALUE"""),"12.08.21 05-00")</f>
        <v>12.08.21 05-00</v>
      </c>
      <c r="N57" t="str">
        <f ca="1">IFERROR(__xludf.DUMMYFUNCTION("""COMPUTED_VALUE"""),"84 ДОСЛ")</f>
        <v>84 ДОСЛ</v>
      </c>
      <c r="O57">
        <f ca="1">IFERROR(__xludf.DUMMYFUNCTION("""COMPUTED_VALUE"""),36240)</f>
        <v>36240</v>
      </c>
      <c r="P57" t="str">
        <f ca="1">IFERROR(__xludf.DUMMYFUNCTION("""COMPUTED_VALUE"""),"КОЗОВА")</f>
        <v>КОЗОВА</v>
      </c>
      <c r="Q57">
        <f ca="1">IFERROR(__xludf.DUMMYFUNCTION("""COMPUTED_VALUE"""),34750)</f>
        <v>34750</v>
      </c>
      <c r="R57" t="str">
        <f ca="1">IFERROR(__xludf.DUMMYFUNCTION("""COMPUTED_VALUE"""),"ПЕНИЗЕВИЧИ")</f>
        <v>ПЕНИЗЕВИЧИ</v>
      </c>
      <c r="S57" t="str">
        <f ca="1">IFERROR(__xludf.DUMMYFUNCTION("""COMPUTED_VALUE"""),"09.08.21 10-10")</f>
        <v>09.08.21 10-10</v>
      </c>
      <c r="T57">
        <f ca="1">IFERROR(__xludf.DUMMYFUNCTION("""COMPUTED_VALUE"""),3437)</f>
        <v>3437</v>
      </c>
      <c r="U57" t="str">
        <f ca="1">IFERROR(__xludf.DUMMYFUNCTION("""COMPUTED_VALUE"""),"31.03.2024 ДР")</f>
        <v>31.03.2024 ДР</v>
      </c>
      <c r="Z57" t="str">
        <f ca="1">IFERROR(__xludf.DUMMYFUNCTION("""COMPUTED_VALUE"""),"ООО ""ИНДУСТРИАЛЬНЫЕ РЕШЕНИЯ""")</f>
        <v>ООО "ИНДУСТРИАЛЬНЫЕ РЕШЕНИЯ"</v>
      </c>
      <c r="AA57" t="str">
        <f ca="1">IFERROR(__xludf.DUMMYFUNCTION("""COMPUTED_VALUE"""),"12-783")</f>
        <v>12-783</v>
      </c>
      <c r="AB57" t="str">
        <f ca="1">IFERROR(__xludf.DUMMYFUNCTION("""COMPUTED_VALUE"""),"45 ПРИДН")</f>
        <v>45 ПРИДН</v>
      </c>
      <c r="AC57" t="str">
        <f ca="1">IFERROR(__xludf.DUMMYFUNCTION("""COMPUTED_VALUE"""),"45640 ВЕРХОВЦЕВО")</f>
        <v>45640 ВЕРХОВЦЕВО</v>
      </c>
      <c r="AD57" t="str">
        <f ca="1">IFERROR(__xludf.DUMMYFUNCTION("""COMPUTED_VALUE"""),"28.03.21 20-10")</f>
        <v>28.03.21 20-10</v>
      </c>
      <c r="AE57" t="str">
        <f ca="1">IFERROR(__xludf.DUMMYFUNCTION("""COMPUTED_VALUE"""),"570 ИCТEК КAЛЕНДАРНЫЙ CPOК ДEПOВCКОГО PEМOНТA")</f>
        <v>570 ИCТEК КAЛЕНДАРНЫЙ CPOК ДEПOВCКОГО PEМOНТA</v>
      </c>
      <c r="AF57" t="str">
        <f ca="1">IFERROR(__xludf.DUMMYFUNCTION("""COMPUTED_VALUE"""),"45 ПРИДН")</f>
        <v>45 ПРИДН</v>
      </c>
      <c r="AG57" t="str">
        <f ca="1">IFERROR(__xludf.DUMMYFUNCTION("""COMPUTED_VALUE"""),"45640 ВЕРХОВЦЕВО")</f>
        <v>45640 ВЕРХОВЦЕВО</v>
      </c>
      <c r="AH57" t="str">
        <f ca="1">IFERROR(__xludf.DUMMYFUNCTION("""COMPUTED_VALUE"""),"31.03.21 13-50")</f>
        <v>31.03.21 13-50</v>
      </c>
      <c r="AI57" s="21">
        <f ca="1">IFERROR(__xludf.DUMMYFUNCTION("""COMPUTED_VALUE"""),44420.3576504629)</f>
        <v>44420.357650462902</v>
      </c>
    </row>
    <row r="58" spans="1:35" ht="13" x14ac:dyDescent="0.15">
      <c r="A58">
        <f ca="1">IFERROR(__xludf.DUMMYFUNCTION("""COMPUTED_VALUE"""),262)</f>
        <v>262</v>
      </c>
      <c r="B58" t="str">
        <f ca="1">IFERROR(__xludf.DUMMYFUNCTION("""COMPUTED_VALUE"""),"Ламан-Шипинг скраренда")</f>
        <v>Ламан-Шипинг скраренда</v>
      </c>
      <c r="C58" t="str">
        <f ca="1">IFERROR(__xludf.DUMMYFUNCTION("""COMPUTED_VALUE"""),"АЛЬФА ГРУПП КИЕВ")</f>
        <v>АЛЬФА ГРУПП КИЕВ</v>
      </c>
      <c r="D58">
        <f ca="1">IFERROR(__xludf.DUMMYFUNCTION("""COMPUTED_VALUE"""),63565410)</f>
        <v>63565410</v>
      </c>
      <c r="E58" t="str">
        <f ca="1">IFERROR(__xludf.DUMMYFUNCTION("""COMPUTED_VALUE"""),"60 ПОЛУВАГОНЫ")</f>
        <v>60 ПОЛУВАГОНЫ</v>
      </c>
      <c r="F58">
        <f ca="1">IFERROR(__xludf.DUMMYFUNCTION("""COMPUTED_VALUE"""),24151)</f>
        <v>24151</v>
      </c>
      <c r="G58" t="str">
        <f ca="1">IFERROR(__xludf.DUMMYFUNCTION("""COMPUTED_VALUE"""),"ПРОДУКТ ПОЛЕВОШ")</f>
        <v>ПРОДУКТ ПОЛЕВОШ</v>
      </c>
      <c r="H58">
        <f ca="1">IFERROR(__xludf.DUMMYFUNCTION("""COMPUTED_VALUE"""),69)</f>
        <v>69</v>
      </c>
      <c r="I58">
        <f ca="1">IFERROR(__xludf.DUMMYFUNCTION("""COMPUTED_VALUE"""),8223)</f>
        <v>8223</v>
      </c>
      <c r="J58" t="str">
        <f ca="1">IFERROR(__xludf.DUMMYFUNCTION("""COMPUTED_VALUE"""),"3601 (32000-629-32010) ДАРНИЦА - КИЕВ-ДЕМЕЕВС")</f>
        <v>3601 (32000-629-32010) ДАРНИЦА - КИЕВ-ДЕМЕЕВС</v>
      </c>
      <c r="K58">
        <f ca="1">IFERROR(__xludf.DUMMYFUNCTION("""COMPUTED_VALUE"""),32010)</f>
        <v>32010</v>
      </c>
      <c r="L58" t="str">
        <f ca="1">IFERROR(__xludf.DUMMYFUNCTION("""COMPUTED_VALUE"""),"КИЕВ-ДЕМЕЕВС")</f>
        <v>КИЕВ-ДЕМЕЕВС</v>
      </c>
      <c r="M58" t="str">
        <f ca="1">IFERROR(__xludf.DUMMYFUNCTION("""COMPUTED_VALUE"""),"10.08.21 08-50")</f>
        <v>10.08.21 08-50</v>
      </c>
      <c r="N58" t="str">
        <f ca="1">IFERROR(__xludf.DUMMYFUNCTION("""COMPUTED_VALUE"""),"21 ВЫГ2")</f>
        <v>21 ВЫГ2</v>
      </c>
      <c r="O58">
        <f ca="1">IFERROR(__xludf.DUMMYFUNCTION("""COMPUTED_VALUE"""),32010)</f>
        <v>32010</v>
      </c>
      <c r="P58" t="str">
        <f ca="1">IFERROR(__xludf.DUMMYFUNCTION("""COMPUTED_VALUE"""),"КИЕВ-ДЕМЕЕВС")</f>
        <v>КИЕВ-ДЕМЕЕВС</v>
      </c>
      <c r="Q58">
        <f ca="1">IFERROR(__xludf.DUMMYFUNCTION("""COMPUTED_VALUE"""),34170)</f>
        <v>34170</v>
      </c>
      <c r="R58" t="str">
        <f ca="1">IFERROR(__xludf.DUMMYFUNCTION("""COMPUTED_VALUE"""),"ПОЛОННОЕ")</f>
        <v>ПОЛОННОЕ</v>
      </c>
      <c r="S58" t="str">
        <f ca="1">IFERROR(__xludf.DUMMYFUNCTION("""COMPUTED_VALUE"""),"07.08.21 17-45")</f>
        <v>07.08.21 17-45</v>
      </c>
      <c r="U58" t="str">
        <f ca="1">IFERROR(__xludf.DUMMYFUNCTION("""COMPUTED_VALUE"""),"23.08.2021 ДР")</f>
        <v>23.08.2021 ДР</v>
      </c>
      <c r="Z58" t="str">
        <f ca="1">IFERROR(__xludf.DUMMYFUNCTION("""COMPUTED_VALUE"""),"ООО «ТЕЛК «ТРАНСЛОГИСТИК КИЕВ»")</f>
        <v>ООО «ТЕЛК «ТРАНСЛОГИСТИК КИЕВ»</v>
      </c>
      <c r="AA58" t="str">
        <f ca="1">IFERROR(__xludf.DUMMYFUNCTION("""COMPUTED_VALUE"""),"12-119")</f>
        <v>12-119</v>
      </c>
      <c r="AB58" t="str">
        <f ca="1">IFERROR(__xludf.DUMMYFUNCTION("""COMPUTED_VALUE"""),"48 ДОН")</f>
        <v>48 ДОН</v>
      </c>
      <c r="AC58" t="str">
        <f ca="1">IFERROR(__xludf.DUMMYFUNCTION("""COMPUTED_VALUE"""),"49120 КОНСТАНТИНОВ")</f>
        <v>49120 КОНСТАНТИНОВ</v>
      </c>
      <c r="AD58" t="str">
        <f ca="1">IFERROR(__xludf.DUMMYFUNCTION("""COMPUTED_VALUE"""),"18.04.21 13-14")</f>
        <v>18.04.21 13-14</v>
      </c>
      <c r="AE58" t="str">
        <f ca="1">IFERROR(__xludf.DUMMYFUNCTION("""COMPUTED_VALUE"""),"102 ТOНКИЙ ГPEБEНЬ")</f>
        <v>102 ТOНКИЙ ГPEБEНЬ</v>
      </c>
      <c r="AF58" t="str">
        <f ca="1">IFERROR(__xludf.DUMMYFUNCTION("""COMPUTED_VALUE"""),"48 ДОН")</f>
        <v>48 ДОН</v>
      </c>
      <c r="AG58" t="str">
        <f ca="1">IFERROR(__xludf.DUMMYFUNCTION("""COMPUTED_VALUE"""),"49120 КОНСТАНТИНОВ")</f>
        <v>49120 КОНСТАНТИНОВ</v>
      </c>
      <c r="AH58" t="str">
        <f ca="1">IFERROR(__xludf.DUMMYFUNCTION("""COMPUTED_VALUE"""),"29.04.21 13-44")</f>
        <v>29.04.21 13-44</v>
      </c>
      <c r="AI58" s="21">
        <f ca="1">IFERROR(__xludf.DUMMYFUNCTION("""COMPUTED_VALUE"""),44420.3576504629)</f>
        <v>44420.357650462902</v>
      </c>
    </row>
    <row r="59" spans="1:35" ht="13" x14ac:dyDescent="0.15">
      <c r="A59">
        <f ca="1">IFERROR(__xludf.DUMMYFUNCTION("""COMPUTED_VALUE"""),263)</f>
        <v>263</v>
      </c>
      <c r="B59" t="str">
        <f ca="1">IFERROR(__xludf.DUMMYFUNCTION("""COMPUTED_VALUE"""),"Техрейс")</f>
        <v>Техрейс</v>
      </c>
      <c r="C59" t="str">
        <f ca="1">IFERROR(__xludf.DUMMYFUNCTION("""COMPUTED_VALUE"""),"АЛЬФА ГРУПП КИЕВ")</f>
        <v>АЛЬФА ГРУПП КИЕВ</v>
      </c>
      <c r="D59">
        <f ca="1">IFERROR(__xludf.DUMMYFUNCTION("""COMPUTED_VALUE"""),63565501)</f>
        <v>63565501</v>
      </c>
      <c r="E59" t="str">
        <f ca="1">IFERROR(__xludf.DUMMYFUNCTION("""COMPUTED_VALUE"""),"60 ПОЛУВАГОНЫ")</f>
        <v>60 ПОЛУВАГОНЫ</v>
      </c>
      <c r="F59">
        <f ca="1">IFERROR(__xludf.DUMMYFUNCTION("""COMPUTED_VALUE"""),42119)</f>
        <v>42119</v>
      </c>
      <c r="G59" t="str">
        <f ca="1">IFERROR(__xludf.DUMMYFUNCTION("""COMPUTED_VALUE"""),"ВАГОНЫ ЖД РЕМОН")</f>
        <v>ВАГОНЫ ЖД РЕМОН</v>
      </c>
      <c r="H59">
        <f ca="1">IFERROR(__xludf.DUMMYFUNCTION("""COMPUTED_VALUE"""),0)</f>
        <v>0</v>
      </c>
      <c r="I59">
        <f ca="1">IFERROR(__xludf.DUMMYFUNCTION("""COMPUTED_VALUE"""),9739)</f>
        <v>9739</v>
      </c>
      <c r="J59" t="str">
        <f ca="1">IFERROR(__xludf.DUMMYFUNCTION("""COMPUTED_VALUE"""),"2001 (34630-145-34640) КОРОСТЕНЬ - КОРОСТ-ПОДОЛ")</f>
        <v>2001 (34630-145-34640) КОРОСТЕНЬ - КОРОСТ-ПОДОЛ</v>
      </c>
      <c r="K59">
        <f ca="1">IFERROR(__xludf.DUMMYFUNCTION("""COMPUTED_VALUE"""),34640)</f>
        <v>34640</v>
      </c>
      <c r="L59" t="str">
        <f ca="1">IFERROR(__xludf.DUMMYFUNCTION("""COMPUTED_VALUE"""),"КОРОСТ-ПОДОЛ")</f>
        <v>КОРОСТ-ПОДОЛ</v>
      </c>
      <c r="M59" t="str">
        <f ca="1">IFERROR(__xludf.DUMMYFUNCTION("""COMPUTED_VALUE"""),"09.06.21 03-20")</f>
        <v>09.06.21 03-20</v>
      </c>
      <c r="N59" t="str">
        <f ca="1">IFERROR(__xludf.DUMMYFUNCTION("""COMPUTED_VALUE"""),"98 ОТОТ")</f>
        <v>98 ОТОТ</v>
      </c>
      <c r="O59">
        <f ca="1">IFERROR(__xludf.DUMMYFUNCTION("""COMPUTED_VALUE"""),34640)</f>
        <v>34640</v>
      </c>
      <c r="P59" t="str">
        <f ca="1">IFERROR(__xludf.DUMMYFUNCTION("""COMPUTED_VALUE"""),"КОРОСТ-ПОДОЛ")</f>
        <v>КОРОСТ-ПОДОЛ</v>
      </c>
      <c r="Q59">
        <f ca="1">IFERROR(__xludf.DUMMYFUNCTION("""COMPUTED_VALUE"""),34710)</f>
        <v>34710</v>
      </c>
      <c r="R59" t="str">
        <f ca="1">IFERROR(__xludf.DUMMYFUNCTION("""COMPUTED_VALUE"""),"ШАТРИЩЕ")</f>
        <v>ШАТРИЩЕ</v>
      </c>
      <c r="S59" t="str">
        <f ca="1">IFERROR(__xludf.DUMMYFUNCTION("""COMPUTED_VALUE"""),"31.05.21 05-50")</f>
        <v>31.05.21 05-50</v>
      </c>
      <c r="T59">
        <f ca="1">IFERROR(__xludf.DUMMYFUNCTION("""COMPUTED_VALUE"""),8200)</f>
        <v>8200</v>
      </c>
      <c r="U59" t="str">
        <f ca="1">IFERROR(__xludf.DUMMYFUNCTION("""COMPUTED_VALUE"""),"30.08.2021 ДР")</f>
        <v>30.08.2021 ДР</v>
      </c>
      <c r="Z59" t="str">
        <f ca="1">IFERROR(__xludf.DUMMYFUNCTION("""COMPUTED_VALUE"""),"ООО «ТЕЛК «ТРАНСЛОГИСТИК КИЕВ»")</f>
        <v>ООО «ТЕЛК «ТРАНСЛОГИСТИК КИЕВ»</v>
      </c>
      <c r="AA59" t="str">
        <f ca="1">IFERROR(__xludf.DUMMYFUNCTION("""COMPUTED_VALUE"""),"12-753")</f>
        <v>12-753</v>
      </c>
      <c r="AB59" t="str">
        <f ca="1">IFERROR(__xludf.DUMMYFUNCTION("""COMPUTED_VALUE"""),"32 Ю-ЗАП")</f>
        <v>32 Ю-ЗАП</v>
      </c>
      <c r="AC59" t="str">
        <f ca="1">IFERROR(__xludf.DUMMYFUNCTION("""COMPUTED_VALUE"""),"34640 КОРОСТ-ПОДОЛ")</f>
        <v>34640 КОРОСТ-ПОДОЛ</v>
      </c>
      <c r="AD59" t="str">
        <f ca="1">IFERROR(__xludf.DUMMYFUNCTION("""COMPUTED_VALUE"""),"08.06.21 05-40")</f>
        <v>08.06.21 05-40</v>
      </c>
      <c r="AE59" t="str">
        <f ca="1">IFERROR(__xludf.DUMMYFUNCTION("""COMPUTED_VALUE"""),"540 НEИCПPAВНOCТЬ ЗAПOPA ЛЮКA")</f>
        <v>540 НEИCПPAВНOCТЬ ЗAПOPA ЛЮКA</v>
      </c>
      <c r="AF59" t="str">
        <f ca="1">IFERROR(__xludf.DUMMYFUNCTION("""COMPUTED_VALUE"""),"48 ДОН")</f>
        <v>48 ДОН</v>
      </c>
      <c r="AG59" t="str">
        <f ca="1">IFERROR(__xludf.DUMMYFUNCTION("""COMPUTED_VALUE"""),"49480 СОЛЬ")</f>
        <v>49480 СОЛЬ</v>
      </c>
      <c r="AH59" t="str">
        <f ca="1">IFERROR(__xludf.DUMMYFUNCTION("""COMPUTED_VALUE"""),"17.04.21 12-30")</f>
        <v>17.04.21 12-30</v>
      </c>
      <c r="AI59" s="21">
        <f ca="1">IFERROR(__xludf.DUMMYFUNCTION("""COMPUTED_VALUE"""),44420.3576504629)</f>
        <v>44420.357650462902</v>
      </c>
    </row>
    <row r="60" spans="1:35" ht="13" x14ac:dyDescent="0.15">
      <c r="A60">
        <f ca="1">IFERROR(__xludf.DUMMYFUNCTION("""COMPUTED_VALUE"""),264)</f>
        <v>264</v>
      </c>
      <c r="B60" t="str">
        <f ca="1">IFERROR(__xludf.DUMMYFUNCTION("""COMPUTED_VALUE"""),"Лидер")</f>
        <v>Лидер</v>
      </c>
      <c r="C60" t="str">
        <f ca="1">IFERROR(__xludf.DUMMYFUNCTION("""COMPUTED_VALUE"""),"АЛЬФА ГРУПП КИЕВ")</f>
        <v>АЛЬФА ГРУПП КИЕВ</v>
      </c>
      <c r="D60">
        <f ca="1">IFERROR(__xludf.DUMMYFUNCTION("""COMPUTED_VALUE"""),63565519)</f>
        <v>63565519</v>
      </c>
      <c r="E60" t="str">
        <f ca="1">IFERROR(__xludf.DUMMYFUNCTION("""COMPUTED_VALUE"""),"60 ПОЛУВАГОНЫ")</f>
        <v>60 ПОЛУВАГОНЫ</v>
      </c>
      <c r="F60">
        <f ca="1">IFERROR(__xludf.DUMMYFUNCTION("""COMPUTED_VALUE"""),42103)</f>
        <v>42103</v>
      </c>
      <c r="G60" t="str">
        <f ca="1">IFERROR(__xludf.DUMMYFUNCTION("""COMPUTED_VALUE"""),"ВАГОНЫ ЖД СВ")</f>
        <v>ВАГОНЫ ЖД СВ</v>
      </c>
      <c r="H60">
        <f ca="1">IFERROR(__xludf.DUMMYFUNCTION("""COMPUTED_VALUE"""),0)</f>
        <v>0</v>
      </c>
      <c r="I60">
        <f ca="1">IFERROR(__xludf.DUMMYFUNCTION("""COMPUTED_VALUE"""),3437)</f>
        <v>3437</v>
      </c>
      <c r="J60" t="str">
        <f ca="1">IFERROR(__xludf.DUMMYFUNCTION("""COMPUTED_VALUE"""),"2727 (44020-209-32000) ОСНОВА - ДАРНИЦА")</f>
        <v>2727 (44020-209-32000) ОСНОВА - ДАРНИЦА</v>
      </c>
      <c r="K60">
        <f ca="1">IFERROR(__xludf.DUMMYFUNCTION("""COMPUTED_VALUE"""),32250)</f>
        <v>32250</v>
      </c>
      <c r="L60" t="str">
        <f ca="1">IFERROR(__xludf.DUMMYFUNCTION("""COMPUTED_VALUE"""),"ИМ.Г.КИРПЫ")</f>
        <v>ИМ.Г.КИРПЫ</v>
      </c>
      <c r="M60" t="str">
        <f ca="1">IFERROR(__xludf.DUMMYFUNCTION("""COMPUTED_VALUE"""),"11.08.21 15-01")</f>
        <v>11.08.21 15-01</v>
      </c>
      <c r="N60" t="str">
        <f ca="1">IFERROR(__xludf.DUMMYFUNCTION("""COMPUTED_VALUE"""),"01 ПРИБ")</f>
        <v>01 ПРИБ</v>
      </c>
      <c r="O60">
        <f ca="1">IFERROR(__xludf.DUMMYFUNCTION("""COMPUTED_VALUE"""),34750)</f>
        <v>34750</v>
      </c>
      <c r="P60" t="str">
        <f ca="1">IFERROR(__xludf.DUMMYFUNCTION("""COMPUTED_VALUE"""),"ПЕНИЗЕВИЧИ")</f>
        <v>ПЕНИЗЕВИЧИ</v>
      </c>
      <c r="Q60">
        <f ca="1">IFERROR(__xludf.DUMMYFUNCTION("""COMPUTED_VALUE"""),49870)</f>
        <v>49870</v>
      </c>
      <c r="R60" t="str">
        <f ca="1">IFERROR(__xludf.DUMMYFUNCTION("""COMPUTED_VALUE"""),"РУБЕЖНОЕ")</f>
        <v>РУБЕЖНОЕ</v>
      </c>
      <c r="S60" t="str">
        <f ca="1">IFERROR(__xludf.DUMMYFUNCTION("""COMPUTED_VALUE"""),"07.08.21 23-10")</f>
        <v>07.08.21 23-10</v>
      </c>
      <c r="T60">
        <f ca="1">IFERROR(__xludf.DUMMYFUNCTION("""COMPUTED_VALUE"""),2992)</f>
        <v>2992</v>
      </c>
      <c r="U60" t="str">
        <f ca="1">IFERROR(__xludf.DUMMYFUNCTION("""COMPUTED_VALUE"""),"24.12.2023 ДР")</f>
        <v>24.12.2023 ДР</v>
      </c>
      <c r="Z60" t="str">
        <f ca="1">IFERROR(__xludf.DUMMYFUNCTION("""COMPUTED_VALUE"""),"ООО «ТЕЛК «ТРАНСЛОГИСТИК КИЕВ»")</f>
        <v>ООО «ТЕЛК «ТРАНСЛОГИСТИК КИЕВ»</v>
      </c>
      <c r="AA60" t="str">
        <f ca="1">IFERROR(__xludf.DUMMYFUNCTION("""COMPUTED_VALUE"""),"12-141")</f>
        <v>12-141</v>
      </c>
      <c r="AB60" t="str">
        <f ca="1">IFERROR(__xludf.DUMMYFUNCTION("""COMPUTED_VALUE"""),"45 ПРИДН")</f>
        <v>45 ПРИДН</v>
      </c>
      <c r="AC60" t="str">
        <f ca="1">IFERROR(__xludf.DUMMYFUNCTION("""COMPUTED_VALUE"""),"45170 ПРАВДА")</f>
        <v>45170 ПРАВДА</v>
      </c>
      <c r="AD60" t="str">
        <f ca="1">IFERROR(__xludf.DUMMYFUNCTION("""COMPUTED_VALUE"""),"13.04.21 20-05")</f>
        <v>13.04.21 20-05</v>
      </c>
      <c r="AE6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60" t="str">
        <f ca="1">IFERROR(__xludf.DUMMYFUNCTION("""COMPUTED_VALUE"""),"45 ПРИДН")</f>
        <v>45 ПРИДН</v>
      </c>
      <c r="AG60" t="str">
        <f ca="1">IFERROR(__xludf.DUMMYFUNCTION("""COMPUTED_VALUE"""),"45170 ПРАВДА")</f>
        <v>45170 ПРАВДА</v>
      </c>
      <c r="AH60" t="str">
        <f ca="1">IFERROR(__xludf.DUMMYFUNCTION("""COMPUTED_VALUE"""),"14.04.21 15-00")</f>
        <v>14.04.21 15-00</v>
      </c>
      <c r="AI60" s="21">
        <f ca="1">IFERROR(__xludf.DUMMYFUNCTION("""COMPUTED_VALUE"""),44420.3576504629)</f>
        <v>44420.357650462902</v>
      </c>
    </row>
    <row r="61" spans="1:35" ht="13" x14ac:dyDescent="0.15">
      <c r="A61">
        <f ca="1">IFERROR(__xludf.DUMMYFUNCTION("""COMPUTED_VALUE"""),265)</f>
        <v>265</v>
      </c>
      <c r="B61" t="str">
        <f ca="1">IFERROR(__xludf.DUMMYFUNCTION("""COMPUTED_VALUE"""),"Техрейс")</f>
        <v>Техрейс</v>
      </c>
      <c r="C61" t="str">
        <f ca="1">IFERROR(__xludf.DUMMYFUNCTION("""COMPUTED_VALUE"""),"АЛЬФА ГРУПП КИЕВ")</f>
        <v>АЛЬФА ГРУПП КИЕВ</v>
      </c>
      <c r="D61">
        <f ca="1">IFERROR(__xludf.DUMMYFUNCTION("""COMPUTED_VALUE"""),63565527)</f>
        <v>63565527</v>
      </c>
      <c r="E61" t="str">
        <f ca="1">IFERROR(__xludf.DUMMYFUNCTION("""COMPUTED_VALUE"""),"60 ПОЛУВАГОНЫ")</f>
        <v>60 ПОЛУВАГОНЫ</v>
      </c>
      <c r="F61">
        <f ca="1">IFERROR(__xludf.DUMMYFUNCTION("""COMPUTED_VALUE"""),42103)</f>
        <v>42103</v>
      </c>
      <c r="G61" t="str">
        <f ca="1">IFERROR(__xludf.DUMMYFUNCTION("""COMPUTED_VALUE"""),"ВАГОНЫ ЖД СВ")</f>
        <v>ВАГОНЫ ЖД СВ</v>
      </c>
      <c r="H61">
        <f ca="1">IFERROR(__xludf.DUMMYFUNCTION("""COMPUTED_VALUE"""),0)</f>
        <v>0</v>
      </c>
      <c r="I61">
        <f ca="1">IFERROR(__xludf.DUMMYFUNCTION("""COMPUTED_VALUE"""),5343)</f>
        <v>5343</v>
      </c>
      <c r="J61" t="str">
        <f ca="1">IFERROR(__xludf.DUMMYFUNCTION("""COMPUTED_VALUE"""),"2628 (40050-032-46720) БЕРЕГОВАЯ - КРИВОЙ РОГ")</f>
        <v>2628 (40050-032-46720) БЕРЕГОВАЯ - КРИВОЙ РОГ</v>
      </c>
      <c r="K61">
        <f ca="1">IFERROR(__xludf.DUMMYFUNCTION("""COMPUTED_VALUE"""),46720)</f>
        <v>46720</v>
      </c>
      <c r="L61" t="str">
        <f ca="1">IFERROR(__xludf.DUMMYFUNCTION("""COMPUTED_VALUE"""),"КРИВОЙ РОГ")</f>
        <v>КРИВОЙ РОГ</v>
      </c>
      <c r="M61" t="str">
        <f ca="1">IFERROR(__xludf.DUMMYFUNCTION("""COMPUTED_VALUE"""),"31.07.21 02-15")</f>
        <v>31.07.21 02-15</v>
      </c>
      <c r="N61" t="str">
        <f ca="1">IFERROR(__xludf.DUMMYFUNCTION("""COMPUTED_VALUE"""),"98 ОТОТ")</f>
        <v>98 ОТОТ</v>
      </c>
      <c r="O61">
        <f ca="1">IFERROR(__xludf.DUMMYFUNCTION("""COMPUTED_VALUE"""),46720)</f>
        <v>46720</v>
      </c>
      <c r="P61" t="str">
        <f ca="1">IFERROR(__xludf.DUMMYFUNCTION("""COMPUTED_VALUE"""),"КРИВОЙ РОГ")</f>
        <v>КРИВОЙ РОГ</v>
      </c>
      <c r="Q61">
        <f ca="1">IFERROR(__xludf.DUMMYFUNCTION("""COMPUTED_VALUE"""),40050)</f>
        <v>40050</v>
      </c>
      <c r="R61" t="str">
        <f ca="1">IFERROR(__xludf.DUMMYFUNCTION("""COMPUTED_VALUE"""),"БЕРЕГОВАЯ")</f>
        <v>БЕРЕГОВАЯ</v>
      </c>
      <c r="S61" t="str">
        <f ca="1">IFERROR(__xludf.DUMMYFUNCTION("""COMPUTED_VALUE"""),"30.07.21 01-10")</f>
        <v>30.07.21 01-10</v>
      </c>
      <c r="T61">
        <f ca="1">IFERROR(__xludf.DUMMYFUNCTION("""COMPUTED_VALUE"""),8200)</f>
        <v>8200</v>
      </c>
      <c r="U61" t="str">
        <f ca="1">IFERROR(__xludf.DUMMYFUNCTION("""COMPUTED_VALUE"""),"14.08.2021 ДР")</f>
        <v>14.08.2021 ДР</v>
      </c>
      <c r="Z61" t="str">
        <f ca="1">IFERROR(__xludf.DUMMYFUNCTION("""COMPUTED_VALUE"""),"ООО «ТЕЛК «ТРАНСЛОГИСТИК КИЕВ»")</f>
        <v>ООО «ТЕЛК «ТРАНСЛОГИСТИК КИЕВ»</v>
      </c>
      <c r="AA61" t="str">
        <f ca="1">IFERROR(__xludf.DUMMYFUNCTION("""COMPUTED_VALUE"""),"12-141")</f>
        <v>12-141</v>
      </c>
      <c r="AB61" t="str">
        <f ca="1">IFERROR(__xludf.DUMMYFUNCTION("""COMPUTED_VALUE"""),"32 Ю-ЗАП")</f>
        <v>32 Ю-ЗАП</v>
      </c>
      <c r="AC61" t="str">
        <f ca="1">IFERROR(__xludf.DUMMYFUNCTION("""COMPUTED_VALUE"""),"33000 ЖМЕРИНКА")</f>
        <v>33000 ЖМЕРИНКА</v>
      </c>
      <c r="AD61" t="str">
        <f ca="1">IFERROR(__xludf.DUMMYFUNCTION("""COMPUTED_VALUE"""),"24.06.20 20-38")</f>
        <v>24.06.20 20-38</v>
      </c>
      <c r="AE61" t="str">
        <f ca="1">IFERROR(__xludf.DUMMYFUNCTION("""COMPUTED_VALUE"""),"102 ТOНКИЙ ГPEБEНЬ")</f>
        <v>102 ТOНКИЙ ГPEБEНЬ</v>
      </c>
      <c r="AF61" t="str">
        <f ca="1">IFERROR(__xludf.DUMMYFUNCTION("""COMPUTED_VALUE"""),"32 Ю-ЗАП")</f>
        <v>32 Ю-ЗАП</v>
      </c>
      <c r="AG61" t="str">
        <f ca="1">IFERROR(__xludf.DUMMYFUNCTION("""COMPUTED_VALUE"""),"33000 ЖМЕРИНКА")</f>
        <v>33000 ЖМЕРИНКА</v>
      </c>
      <c r="AH61" t="str">
        <f ca="1">IFERROR(__xludf.DUMMYFUNCTION("""COMPUTED_VALUE"""),"17.11.20 14-00")</f>
        <v>17.11.20 14-00</v>
      </c>
      <c r="AI61" s="21">
        <f ca="1">IFERROR(__xludf.DUMMYFUNCTION("""COMPUTED_VALUE"""),44420.3576504629)</f>
        <v>44420.357650462902</v>
      </c>
    </row>
    <row r="62" spans="1:35" ht="13" x14ac:dyDescent="0.15">
      <c r="A62">
        <f ca="1">IFERROR(__xludf.DUMMYFUNCTION("""COMPUTED_VALUE"""),266)</f>
        <v>266</v>
      </c>
      <c r="B62" t="str">
        <f ca="1">IFERROR(__xludf.DUMMYFUNCTION("""COMPUTED_VALUE"""),"Техрейс")</f>
        <v>Техрейс</v>
      </c>
      <c r="C62" t="str">
        <f ca="1">IFERROR(__xludf.DUMMYFUNCTION("""COMPUTED_VALUE"""),"АЛЬФА ГРУПП КИЕВ")</f>
        <v>АЛЬФА ГРУПП КИЕВ</v>
      </c>
      <c r="D62">
        <f ca="1">IFERROR(__xludf.DUMMYFUNCTION("""COMPUTED_VALUE"""),63565535)</f>
        <v>63565535</v>
      </c>
      <c r="E62" t="str">
        <f ca="1">IFERROR(__xludf.DUMMYFUNCTION("""COMPUTED_VALUE"""),"60 ПОЛУВАГОНЫ")</f>
        <v>60 ПОЛУВАГОНЫ</v>
      </c>
      <c r="F62">
        <f ca="1">IFERROR(__xludf.DUMMYFUNCTION("""COMPUTED_VALUE"""),42103)</f>
        <v>42103</v>
      </c>
      <c r="G62" t="str">
        <f ca="1">IFERROR(__xludf.DUMMYFUNCTION("""COMPUTED_VALUE"""),"ВАГОНЫ ЖД СВ")</f>
        <v>ВАГОНЫ ЖД СВ</v>
      </c>
      <c r="H62">
        <f ca="1">IFERROR(__xludf.DUMMYFUNCTION("""COMPUTED_VALUE"""),0)</f>
        <v>0</v>
      </c>
      <c r="I62">
        <f ca="1">IFERROR(__xludf.DUMMYFUNCTION("""COMPUTED_VALUE"""),5343)</f>
        <v>5343</v>
      </c>
      <c r="J62" t="str">
        <f ca="1">IFERROR(__xludf.DUMMYFUNCTION("""COMPUTED_VALUE"""),"2112 (40050-070-46720) БЕРЕГОВАЯ - КРИВОЙ РОГ")</f>
        <v>2112 (40050-070-46720) БЕРЕГОВАЯ - КРИВОЙ РОГ</v>
      </c>
      <c r="K62">
        <f ca="1">IFERROR(__xludf.DUMMYFUNCTION("""COMPUTED_VALUE"""),46720)</f>
        <v>46720</v>
      </c>
      <c r="L62" t="str">
        <f ca="1">IFERROR(__xludf.DUMMYFUNCTION("""COMPUTED_VALUE"""),"КРИВОЙ РОГ")</f>
        <v>КРИВОЙ РОГ</v>
      </c>
      <c r="M62" t="str">
        <f ca="1">IFERROR(__xludf.DUMMYFUNCTION("""COMPUTED_VALUE"""),"12.08.21 05-16")</f>
        <v>12.08.21 05-16</v>
      </c>
      <c r="N62" t="str">
        <f ca="1">IFERROR(__xludf.DUMMYFUNCTION("""COMPUTED_VALUE"""),"04 РАСФ")</f>
        <v>04 РАСФ</v>
      </c>
      <c r="O62">
        <f ca="1">IFERROR(__xludf.DUMMYFUNCTION("""COMPUTED_VALUE"""),46720)</f>
        <v>46720</v>
      </c>
      <c r="P62" t="str">
        <f ca="1">IFERROR(__xludf.DUMMYFUNCTION("""COMPUTED_VALUE"""),"КРИВОЙ РОГ")</f>
        <v>КРИВОЙ РОГ</v>
      </c>
      <c r="Q62">
        <f ca="1">IFERROR(__xludf.DUMMYFUNCTION("""COMPUTED_VALUE"""),40050)</f>
        <v>40050</v>
      </c>
      <c r="R62" t="str">
        <f ca="1">IFERROR(__xludf.DUMMYFUNCTION("""COMPUTED_VALUE"""),"БЕРЕГОВАЯ")</f>
        <v>БЕРЕГОВАЯ</v>
      </c>
      <c r="S62" t="str">
        <f ca="1">IFERROR(__xludf.DUMMYFUNCTION("""COMPUTED_VALUE"""),"11.08.21 09-35")</f>
        <v>11.08.21 09-35</v>
      </c>
      <c r="T62">
        <f ca="1">IFERROR(__xludf.DUMMYFUNCTION("""COMPUTED_VALUE"""),8200)</f>
        <v>8200</v>
      </c>
      <c r="U62" t="str">
        <f ca="1">IFERROR(__xludf.DUMMYFUNCTION("""COMPUTED_VALUE"""),"21.12.2023 ДР")</f>
        <v>21.12.2023 ДР</v>
      </c>
      <c r="Z62" t="str">
        <f ca="1">IFERROR(__xludf.DUMMYFUNCTION("""COMPUTED_VALUE"""),"ООО «ТЕЛК «ТРАНСЛОГИСТИК КИЕВ»")</f>
        <v>ООО «ТЕЛК «ТРАНСЛОГИСТИК КИЕВ»</v>
      </c>
      <c r="AA62" t="str">
        <f ca="1">IFERROR(__xludf.DUMMYFUNCTION("""COMPUTED_VALUE"""),"12-141")</f>
        <v>12-141</v>
      </c>
      <c r="AB62" t="str">
        <f ca="1">IFERROR(__xludf.DUMMYFUNCTION("""COMPUTED_VALUE"""),"45 ПРИДН")</f>
        <v>45 ПРИДН</v>
      </c>
      <c r="AC62" t="str">
        <f ca="1">IFERROR(__xludf.DUMMYFUNCTION("""COMPUTED_VALUE"""),"45580 КАМЕНСКОЕ")</f>
        <v>45580 КАМЕНСКОЕ</v>
      </c>
      <c r="AD62" t="str">
        <f ca="1">IFERROR(__xludf.DUMMYFUNCTION("""COMPUTED_VALUE"""),"08.04.21 05-30")</f>
        <v>08.04.21 05-30</v>
      </c>
      <c r="AE62" t="str">
        <f ca="1">IFERROR(__xludf.DUMMYFUNCTION("""COMPUTED_VALUE"""),"540 НEИCПPAВНOCТЬ ЗAПOPA ЛЮКA")</f>
        <v>540 НEИCПPAВНOCТЬ ЗAПOPA ЛЮКA</v>
      </c>
      <c r="AF62" t="str">
        <f ca="1">IFERROR(__xludf.DUMMYFUNCTION("""COMPUTED_VALUE"""),"45 ПРИДН")</f>
        <v>45 ПРИДН</v>
      </c>
      <c r="AG62" t="str">
        <f ca="1">IFERROR(__xludf.DUMMYFUNCTION("""COMPUTED_VALUE"""),"45580 КАМЕНСКОЕ")</f>
        <v>45580 КАМЕНСКОЕ</v>
      </c>
      <c r="AH62" t="str">
        <f ca="1">IFERROR(__xludf.DUMMYFUNCTION("""COMPUTED_VALUE"""),"13.04.21 13-50")</f>
        <v>13.04.21 13-50</v>
      </c>
      <c r="AI62" s="21">
        <f ca="1">IFERROR(__xludf.DUMMYFUNCTION("""COMPUTED_VALUE"""),44420.3576504629)</f>
        <v>44420.357650462902</v>
      </c>
    </row>
    <row r="63" spans="1:35" ht="13" x14ac:dyDescent="0.15">
      <c r="A63">
        <f ca="1">IFERROR(__xludf.DUMMYFUNCTION("""COMPUTED_VALUE"""),267)</f>
        <v>267</v>
      </c>
      <c r="B63" t="str">
        <f ca="1">IFERROR(__xludf.DUMMYFUNCTION("""COMPUTED_VALUE"""),"Техрейс")</f>
        <v>Техрейс</v>
      </c>
      <c r="C63" t="str">
        <f ca="1">IFERROR(__xludf.DUMMYFUNCTION("""COMPUTED_VALUE"""),"АЛЬФА ГРУПП КИЕВ")</f>
        <v>АЛЬФА ГРУПП КИЕВ</v>
      </c>
      <c r="D63">
        <f ca="1">IFERROR(__xludf.DUMMYFUNCTION("""COMPUTED_VALUE"""),63565550)</f>
        <v>63565550</v>
      </c>
      <c r="E63" t="str">
        <f ca="1">IFERROR(__xludf.DUMMYFUNCTION("""COMPUTED_VALUE"""),"60 ПОЛУВАГОНЫ")</f>
        <v>60 ПОЛУВАГОНЫ</v>
      </c>
      <c r="F63">
        <f ca="1">IFERROR(__xludf.DUMMYFUNCTION("""COMPUTED_VALUE"""),16120)</f>
        <v>16120</v>
      </c>
      <c r="G63" t="str">
        <f ca="1">IFERROR(__xludf.DUMMYFUNCTION("""COMPUTED_VALUE"""),"УГОЛЬ КАМЕН ПР")</f>
        <v>УГОЛЬ КАМЕН ПР</v>
      </c>
      <c r="H63">
        <f ca="1">IFERROR(__xludf.DUMMYFUNCTION("""COMPUTED_VALUE"""),71)</f>
        <v>71</v>
      </c>
      <c r="I63">
        <f ca="1">IFERROR(__xludf.DUMMYFUNCTION("""COMPUTED_VALUE"""),7253)</f>
        <v>7253</v>
      </c>
      <c r="J63" t="str">
        <f ca="1">IFERROR(__xludf.DUMMYFUNCTION("""COMPUTED_VALUE"""),"2818 (40110-068-45000) ЧЕРНОМОРСКАЯ - НИЖНЕДН-УЗЕЛ")</f>
        <v>2818 (40110-068-45000) ЧЕРНОМОРСКАЯ - НИЖНЕДН-УЗЕЛ</v>
      </c>
      <c r="K63">
        <f ca="1">IFERROR(__xludf.DUMMYFUNCTION("""COMPUTED_VALUE"""),45000)</f>
        <v>45000</v>
      </c>
      <c r="L63" t="str">
        <f ca="1">IFERROR(__xludf.DUMMYFUNCTION("""COMPUTED_VALUE"""),"НИЖНЕДН-УЗЕЛ")</f>
        <v>НИЖНЕДН-УЗЕЛ</v>
      </c>
      <c r="M63" t="str">
        <f ca="1">IFERROR(__xludf.DUMMYFUNCTION("""COMPUTED_VALUE"""),"12.08.21 03-25")</f>
        <v>12.08.21 03-25</v>
      </c>
      <c r="N63" t="str">
        <f ca="1">IFERROR(__xludf.DUMMYFUNCTION("""COMPUTED_VALUE"""),"04 РАСФ")</f>
        <v>04 РАСФ</v>
      </c>
      <c r="O63">
        <f ca="1">IFERROR(__xludf.DUMMYFUNCTION("""COMPUTED_VALUE"""),48280)</f>
        <v>48280</v>
      </c>
      <c r="P63" t="str">
        <f ca="1">IFERROR(__xludf.DUMMYFUNCTION("""COMPUTED_VALUE"""),"АВДЕЕВКА")</f>
        <v>АВДЕЕВКА</v>
      </c>
      <c r="Q63">
        <f ca="1">IFERROR(__xludf.DUMMYFUNCTION("""COMPUTED_VALUE"""),40060)</f>
        <v>40060</v>
      </c>
      <c r="R63" t="str">
        <f ca="1">IFERROR(__xludf.DUMMYFUNCTION("""COMPUTED_VALUE"""),"БЕРЕГОВАЯ-Э")</f>
        <v>БЕРЕГОВАЯ-Э</v>
      </c>
      <c r="S63" t="str">
        <f ca="1">IFERROR(__xludf.DUMMYFUNCTION("""COMPUTED_VALUE"""),"10.08.21 03-32")</f>
        <v>10.08.21 03-32</v>
      </c>
      <c r="T63">
        <f ca="1">IFERROR(__xludf.DUMMYFUNCTION("""COMPUTED_VALUE"""),1100)</f>
        <v>1100</v>
      </c>
      <c r="U63" t="str">
        <f ca="1">IFERROR(__xludf.DUMMYFUNCTION("""COMPUTED_VALUE"""),"09.10.2021 ДР")</f>
        <v>09.10.2021 ДР</v>
      </c>
      <c r="Z63" t="str">
        <f ca="1">IFERROR(__xludf.DUMMYFUNCTION("""COMPUTED_VALUE"""),"ООО «ТЕЛК «ТРАНСЛОГИСТИК КИЕВ»")</f>
        <v>ООО «ТЕЛК «ТРАНСЛОГИСТИК КИЕВ»</v>
      </c>
      <c r="AA63" t="str">
        <f ca="1">IFERROR(__xludf.DUMMYFUNCTION("""COMPUTED_VALUE"""),"12-119")</f>
        <v>12-119</v>
      </c>
      <c r="AB63" t="str">
        <f ca="1">IFERROR(__xludf.DUMMYFUNCTION("""COMPUTED_VALUE"""),"35 ЛЬВ")</f>
        <v>35 ЛЬВ</v>
      </c>
      <c r="AC63" t="str">
        <f ca="1">IFERROR(__xludf.DUMMYFUNCTION("""COMPUTED_VALUE"""),"35250 ИЗОВ")</f>
        <v>35250 ИЗОВ</v>
      </c>
      <c r="AD63" t="str">
        <f ca="1">IFERROR(__xludf.DUMMYFUNCTION("""COMPUTED_VALUE"""),"23.06.21 16-06")</f>
        <v>23.06.21 16-06</v>
      </c>
      <c r="AE63" t="str">
        <f ca="1">IFERROR(__xludf.DUMMYFUNCTION("""COMPUTED_VALUE"""),"900 НЕИСПРАВНОСТЬ НЕ СВЗЯЗАННАЯ С ТЕХНИЧЕСКИМ СОСТОЯНИЕМ ВАГОНА")</f>
        <v>900 НЕИСПРАВНОСТЬ НЕ СВЗЯЗАННАЯ С ТЕХНИЧЕСКИМ СОСТОЯНИЕМ ВАГОНА</v>
      </c>
      <c r="AF63" t="str">
        <f ca="1">IFERROR(__xludf.DUMMYFUNCTION("""COMPUTED_VALUE"""),"35 ЛЬВ")</f>
        <v>35 ЛЬВ</v>
      </c>
      <c r="AG63" t="str">
        <f ca="1">IFERROR(__xludf.DUMMYFUNCTION("""COMPUTED_VALUE"""),"35250 ИЗОВ")</f>
        <v>35250 ИЗОВ</v>
      </c>
      <c r="AH63" t="str">
        <f ca="1">IFERROR(__xludf.DUMMYFUNCTION("""COMPUTED_VALUE"""),"29.06.21 15-20")</f>
        <v>29.06.21 15-20</v>
      </c>
      <c r="AI63" s="21">
        <f ca="1">IFERROR(__xludf.DUMMYFUNCTION("""COMPUTED_VALUE"""),44420.3576504629)</f>
        <v>44420.357650462902</v>
      </c>
    </row>
    <row r="64" spans="1:35" ht="13" x14ac:dyDescent="0.15">
      <c r="A64">
        <f ca="1">IFERROR(__xludf.DUMMYFUNCTION("""COMPUTED_VALUE"""),268)</f>
        <v>268</v>
      </c>
      <c r="B64" t="str">
        <f ca="1">IFERROR(__xludf.DUMMYFUNCTION("""COMPUTED_VALUE"""),"Техрейс")</f>
        <v>Техрейс</v>
      </c>
      <c r="C64" t="str">
        <f ca="1">IFERROR(__xludf.DUMMYFUNCTION("""COMPUTED_VALUE"""),"АЛЬФА ГРУПП КИЕВ")</f>
        <v>АЛЬФА ГРУПП КИЕВ</v>
      </c>
      <c r="D64">
        <f ca="1">IFERROR(__xludf.DUMMYFUNCTION("""COMPUTED_VALUE"""),63565477)</f>
        <v>63565477</v>
      </c>
      <c r="E64" t="str">
        <f ca="1">IFERROR(__xludf.DUMMYFUNCTION("""COMPUTED_VALUE"""),"60 ПОЛУВАГОНЫ")</f>
        <v>60 ПОЛУВАГОНЫ</v>
      </c>
      <c r="F64">
        <f ca="1">IFERROR(__xludf.DUMMYFUNCTION("""COMPUTED_VALUE"""),16120)</f>
        <v>16120</v>
      </c>
      <c r="G64" t="str">
        <f ca="1">IFERROR(__xludf.DUMMYFUNCTION("""COMPUTED_VALUE"""),"УГОЛЬ КАМЕН ПР")</f>
        <v>УГОЛЬ КАМЕН ПР</v>
      </c>
      <c r="H64">
        <f ca="1">IFERROR(__xludf.DUMMYFUNCTION("""COMPUTED_VALUE"""),69)</f>
        <v>69</v>
      </c>
      <c r="I64">
        <f ca="1">IFERROR(__xludf.DUMMYFUNCTION("""COMPUTED_VALUE"""),5734)</f>
        <v>5734</v>
      </c>
      <c r="J64" t="str">
        <f ca="1">IFERROR(__xludf.DUMMYFUNCTION("""COMPUTED_VALUE"""),"3611 (48210-063-45000) ГРОДОВКА - НИЖНЕДН-УЗЕЛ")</f>
        <v>3611 (48210-063-45000) ГРОДОВКА - НИЖНЕДН-УЗЕЛ</v>
      </c>
      <c r="K64">
        <f ca="1">IFERROR(__xludf.DUMMYFUNCTION("""COMPUTED_VALUE"""),48200)</f>
        <v>48200</v>
      </c>
      <c r="L64" t="str">
        <f ca="1">IFERROR(__xludf.DUMMYFUNCTION("""COMPUTED_VALUE"""),"ПОКРОВСК")</f>
        <v>ПОКРОВСК</v>
      </c>
      <c r="M64" t="str">
        <f ca="1">IFERROR(__xludf.DUMMYFUNCTION("""COMPUTED_VALUE"""),"12.08.21 06-55")</f>
        <v>12.08.21 06-55</v>
      </c>
      <c r="N64" t="str">
        <f ca="1">IFERROR(__xludf.DUMMYFUNCTION("""COMPUTED_VALUE"""),"01 ПРИБ")</f>
        <v>01 ПРИБ</v>
      </c>
      <c r="O64">
        <f ca="1">IFERROR(__xludf.DUMMYFUNCTION("""COMPUTED_VALUE"""),33010)</f>
        <v>33010</v>
      </c>
      <c r="P64" t="str">
        <f ca="1">IFERROR(__xludf.DUMMYFUNCTION("""COMPUTED_VALUE"""),"ВОЛОЧИСК")</f>
        <v>ВОЛОЧИСК</v>
      </c>
      <c r="Q64">
        <f ca="1">IFERROR(__xludf.DUMMYFUNCTION("""COMPUTED_VALUE"""),48220)</f>
        <v>48220</v>
      </c>
      <c r="R64" t="str">
        <f ca="1">IFERROR(__xludf.DUMMYFUNCTION("""COMPUTED_VALUE"""),"НОВОГРОДОВКА")</f>
        <v>НОВОГРОДОВКА</v>
      </c>
      <c r="S64" t="str">
        <f ca="1">IFERROR(__xludf.DUMMYFUNCTION("""COMPUTED_VALUE"""),"10.08.21 19-15")</f>
        <v>10.08.21 19-15</v>
      </c>
      <c r="T64">
        <f ca="1">IFERROR(__xludf.DUMMYFUNCTION("""COMPUTED_VALUE"""),1816)</f>
        <v>1816</v>
      </c>
      <c r="U64" t="str">
        <f ca="1">IFERROR(__xludf.DUMMYFUNCTION("""COMPUTED_VALUE"""),"30.09.2021 ДР")</f>
        <v>30.09.2021 ДР</v>
      </c>
      <c r="Z64" t="str">
        <f ca="1">IFERROR(__xludf.DUMMYFUNCTION("""COMPUTED_VALUE"""),"ООО «ТЕЛК «ТРАНСЛОГИСТИК КИЕВ»")</f>
        <v>ООО «ТЕЛК «ТРАНСЛОГИСТИК КИЕВ»</v>
      </c>
      <c r="AA64" t="str">
        <f ca="1">IFERROR(__xludf.DUMMYFUNCTION("""COMPUTED_VALUE"""),"12-753")</f>
        <v>12-753</v>
      </c>
      <c r="AB64" t="str">
        <f ca="1">IFERROR(__xludf.DUMMYFUNCTION("""COMPUTED_VALUE"""),"43 ЮЖН")</f>
        <v>43 ЮЖН</v>
      </c>
      <c r="AC64" t="str">
        <f ca="1">IFERROR(__xludf.DUMMYFUNCTION("""COMPUTED_VALUE"""),"42500 КРЕМЕНЧУГ")</f>
        <v>42500 КРЕМЕНЧУГ</v>
      </c>
      <c r="AD64" t="str">
        <f ca="1">IFERROR(__xludf.DUMMYFUNCTION("""COMPUTED_VALUE"""),"02.05.21 03-12")</f>
        <v>02.05.21 03-12</v>
      </c>
      <c r="AE64" t="str">
        <f ca="1">IFERROR(__xludf.DUMMYFUNCTION("""COMPUTED_VALUE"""),"540 НEИCПPAВНOCТЬ ЗAПOPA ЛЮКA")</f>
        <v>540 НEИCПPAВНOCТЬ ЗAПOPA ЛЮКA</v>
      </c>
      <c r="AF64" t="str">
        <f ca="1">IFERROR(__xludf.DUMMYFUNCTION("""COMPUTED_VALUE"""),"43 ЮЖН")</f>
        <v>43 ЮЖН</v>
      </c>
      <c r="AG64" t="str">
        <f ca="1">IFERROR(__xludf.DUMMYFUNCTION("""COMPUTED_VALUE"""),"42500 КРЕМЕНЧУГ")</f>
        <v>42500 КРЕМЕНЧУГ</v>
      </c>
      <c r="AH64" t="str">
        <f ca="1">IFERROR(__xludf.DUMMYFUNCTION("""COMPUTED_VALUE"""),"04.05.21 18-10")</f>
        <v>04.05.21 18-10</v>
      </c>
      <c r="AI64" s="21">
        <f ca="1">IFERROR(__xludf.DUMMYFUNCTION("""COMPUTED_VALUE"""),44420.3576504629)</f>
        <v>44420.357650462902</v>
      </c>
    </row>
    <row r="65" spans="1:35" ht="13" x14ac:dyDescent="0.15">
      <c r="A65">
        <f ca="1">IFERROR(__xludf.DUMMYFUNCTION("""COMPUTED_VALUE"""),269)</f>
        <v>269</v>
      </c>
      <c r="B65" t="str">
        <f ca="1">IFERROR(__xludf.DUMMYFUNCTION("""COMPUTED_VALUE"""),"Техрейс")</f>
        <v>Техрейс</v>
      </c>
      <c r="C65" t="str">
        <f ca="1">IFERROR(__xludf.DUMMYFUNCTION("""COMPUTED_VALUE"""),"АЛЬФА ГРУПП КИЕВ")</f>
        <v>АЛЬФА ГРУПП КИЕВ</v>
      </c>
      <c r="D65">
        <f ca="1">IFERROR(__xludf.DUMMYFUNCTION("""COMPUTED_VALUE"""),63565543)</f>
        <v>63565543</v>
      </c>
      <c r="E65" t="str">
        <f ca="1">IFERROR(__xludf.DUMMYFUNCTION("""COMPUTED_VALUE"""),"60 ПОЛУВАГОНЫ")</f>
        <v>60 ПОЛУВАГОНЫ</v>
      </c>
      <c r="F65">
        <f ca="1">IFERROR(__xludf.DUMMYFUNCTION("""COMPUTED_VALUE"""),42103)</f>
        <v>42103</v>
      </c>
      <c r="G65" t="str">
        <f ca="1">IFERROR(__xludf.DUMMYFUNCTION("""COMPUTED_VALUE"""),"ВАГОНЫ ЖД СВ")</f>
        <v>ВАГОНЫ ЖД СВ</v>
      </c>
      <c r="H65">
        <f ca="1">IFERROR(__xludf.DUMMYFUNCTION("""COMPUTED_VALUE"""),0)</f>
        <v>0</v>
      </c>
      <c r="I65">
        <f ca="1">IFERROR(__xludf.DUMMYFUNCTION("""COMPUTED_VALUE"""),8607)</f>
        <v>8607</v>
      </c>
      <c r="J65" t="str">
        <f ca="1">IFERROR(__xludf.DUMMYFUNCTION("""COMPUTED_VALUE"""),"1111 (33070-009-33060) ХМЕЛЬНИЦКИЙ - ГРЕЧАНЫ")</f>
        <v>1111 (33070-009-33060) ХМЕЛЬНИЦКИЙ - ГРЕЧАНЫ</v>
      </c>
      <c r="K65">
        <f ca="1">IFERROR(__xludf.DUMMYFUNCTION("""COMPUTED_VALUE"""),33070)</f>
        <v>33070</v>
      </c>
      <c r="L65" t="str">
        <f ca="1">IFERROR(__xludf.DUMMYFUNCTION("""COMPUTED_VALUE"""),"ХМЕЛЬНИЦКИЙ")</f>
        <v>ХМЕЛЬНИЦКИЙ</v>
      </c>
      <c r="M65" t="str">
        <f ca="1">IFERROR(__xludf.DUMMYFUNCTION("""COMPUTED_VALUE"""),"11.08.21 23-02")</f>
        <v>11.08.21 23-02</v>
      </c>
      <c r="N65" t="str">
        <f ca="1">IFERROR(__xludf.DUMMYFUNCTION("""COMPUTED_VALUE"""),"71 ПРИЦ")</f>
        <v>71 ПРИЦ</v>
      </c>
      <c r="O65">
        <f ca="1">IFERROR(__xludf.DUMMYFUNCTION("""COMPUTED_VALUE"""),33700)</f>
        <v>33700</v>
      </c>
      <c r="P65" t="str">
        <f ca="1">IFERROR(__xludf.DUMMYFUNCTION("""COMPUTED_VALUE"""),"ГУЛЕВЦЫ")</f>
        <v>ГУЛЕВЦЫ</v>
      </c>
      <c r="Q65">
        <f ca="1">IFERROR(__xludf.DUMMYFUNCTION("""COMPUTED_VALUE"""),33070)</f>
        <v>33070</v>
      </c>
      <c r="R65" t="str">
        <f ca="1">IFERROR(__xludf.DUMMYFUNCTION("""COMPUTED_VALUE"""),"ХМЕЛЬНИЦКИЙ")</f>
        <v>ХМЕЛЬНИЦКИЙ</v>
      </c>
      <c r="S65" t="str">
        <f ca="1">IFERROR(__xludf.DUMMYFUNCTION("""COMPUTED_VALUE"""),"11.08.21 10-05")</f>
        <v>11.08.21 10-05</v>
      </c>
      <c r="T65">
        <f ca="1">IFERROR(__xludf.DUMMYFUNCTION("""COMPUTED_VALUE"""),8200)</f>
        <v>8200</v>
      </c>
      <c r="U65" t="str">
        <f ca="1">IFERROR(__xludf.DUMMYFUNCTION("""COMPUTED_VALUE"""),"19.06.2024 ДР")</f>
        <v>19.06.2024 ДР</v>
      </c>
      <c r="Z65" t="str">
        <f ca="1">IFERROR(__xludf.DUMMYFUNCTION("""COMPUTED_VALUE"""),"ООО «ТЕЛК «ТРАНСЛОГИСТИК КИЕВ»")</f>
        <v>ООО «ТЕЛК «ТРАНСЛОГИСТИК КИЕВ»</v>
      </c>
      <c r="AA65" t="str">
        <f ca="1">IFERROR(__xludf.DUMMYFUNCTION("""COMPUTED_VALUE"""),"12-119")</f>
        <v>12-119</v>
      </c>
      <c r="AB65" t="str">
        <f ca="1">IFERROR(__xludf.DUMMYFUNCTION("""COMPUTED_VALUE"""),"45 ПРИДН")</f>
        <v>45 ПРИДН</v>
      </c>
      <c r="AC65" t="str">
        <f ca="1">IFERROR(__xludf.DUMMYFUNCTION("""COMPUTED_VALUE"""),"47600 МЕЛИТОПОЛЬ")</f>
        <v>47600 МЕЛИТОПОЛЬ</v>
      </c>
      <c r="AD65" t="str">
        <f ca="1">IFERROR(__xludf.DUMMYFUNCTION("""COMPUTED_VALUE"""),"04.06.21 15-12")</f>
        <v>04.06.21 15-12</v>
      </c>
      <c r="AE65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65" t="str">
        <f ca="1">IFERROR(__xludf.DUMMYFUNCTION("""COMPUTED_VALUE"""),"45 ПРИДН")</f>
        <v>45 ПРИДН</v>
      </c>
      <c r="AG65" t="str">
        <f ca="1">IFERROR(__xludf.DUMMYFUNCTION("""COMPUTED_VALUE"""),"47600 МЕЛИТОПОЛЬ")</f>
        <v>47600 МЕЛИТОПОЛЬ</v>
      </c>
      <c r="AH65" t="str">
        <f ca="1">IFERROR(__xludf.DUMMYFUNCTION("""COMPUTED_VALUE"""),"19.06.21 12-20")</f>
        <v>19.06.21 12-20</v>
      </c>
      <c r="AI65" s="21">
        <f ca="1">IFERROR(__xludf.DUMMYFUNCTION("""COMPUTED_VALUE"""),44420.3576504629)</f>
        <v>44420.357650462902</v>
      </c>
    </row>
    <row r="66" spans="1:35" ht="13" x14ac:dyDescent="0.15">
      <c r="A66">
        <f ca="1">IFERROR(__xludf.DUMMYFUNCTION("""COMPUTED_VALUE"""),310)</f>
        <v>310</v>
      </c>
      <c r="B66" t="str">
        <f ca="1">IFERROR(__xludf.DUMMYFUNCTION("""COMPUTED_VALUE"""),"ГРАНІТ-ЮГ С")</f>
        <v>ГРАНІТ-ЮГ С</v>
      </c>
      <c r="C66" t="str">
        <f ca="1">IFERROR(__xludf.DUMMYFUNCTION("""COMPUTED_VALUE"""),"Индустриальные решения")</f>
        <v>Индустриальные решения</v>
      </c>
      <c r="D66">
        <f ca="1">IFERROR(__xludf.DUMMYFUNCTION("""COMPUTED_VALUE"""),62813233)</f>
        <v>62813233</v>
      </c>
      <c r="E66" t="str">
        <f ca="1">IFERROR(__xludf.DUMMYFUNCTION("""COMPUTED_VALUE"""),"60 ПОЛУВАГОНЫ")</f>
        <v>60 ПОЛУВАГОНЫ</v>
      </c>
      <c r="F66">
        <f ca="1">IFERROR(__xludf.DUMMYFUNCTION("""COMPUTED_VALUE"""),42103)</f>
        <v>42103</v>
      </c>
      <c r="G66" t="str">
        <f ca="1">IFERROR(__xludf.DUMMYFUNCTION("""COMPUTED_VALUE"""),"ВАГОНЫ ЖД СВ")</f>
        <v>ВАГОНЫ ЖД СВ</v>
      </c>
      <c r="H66">
        <f ca="1">IFERROR(__xludf.DUMMYFUNCTION("""COMPUTED_VALUE"""),0)</f>
        <v>0</v>
      </c>
      <c r="I66">
        <f ca="1">IFERROR(__xludf.DUMMYFUNCTION("""COMPUTED_VALUE"""),6182)</f>
        <v>6182</v>
      </c>
      <c r="J66" t="str">
        <f ca="1">IFERROR(__xludf.DUMMYFUNCTION("""COMPUTED_VALUE"""),"2728 (40080-322-41300) ОДЕССА-ПЕРЕС - ВОЗНЕСЕНСК")</f>
        <v>2728 (40080-322-41300) ОДЕССА-ПЕРЕС - ВОЗНЕСЕНСК</v>
      </c>
      <c r="K66">
        <f ca="1">IFERROR(__xludf.DUMMYFUNCTION("""COMPUTED_VALUE"""),41300)</f>
        <v>41300</v>
      </c>
      <c r="L66" t="str">
        <f ca="1">IFERROR(__xludf.DUMMYFUNCTION("""COMPUTED_VALUE"""),"ВОЗНЕСЕНСК")</f>
        <v>ВОЗНЕСЕНСК</v>
      </c>
      <c r="M66" t="str">
        <f ca="1">IFERROR(__xludf.DUMMYFUNCTION("""COMPUTED_VALUE"""),"11.08.21 10-51")</f>
        <v>11.08.21 10-51</v>
      </c>
      <c r="N66" t="str">
        <f ca="1">IFERROR(__xludf.DUMMYFUNCTION("""COMPUTED_VALUE"""),"04 РАСФ")</f>
        <v>04 РАСФ</v>
      </c>
      <c r="O66">
        <f ca="1">IFERROR(__xludf.DUMMYFUNCTION("""COMPUTED_VALUE"""),41310)</f>
        <v>41310</v>
      </c>
      <c r="P66" t="str">
        <f ca="1">IFERROR(__xludf.DUMMYFUNCTION("""COMPUTED_VALUE"""),"АЛЕКСАНДР")</f>
        <v>АЛЕКСАНДР</v>
      </c>
      <c r="Q66">
        <f ca="1">IFERROR(__xludf.DUMMYFUNCTION("""COMPUTED_VALUE"""),40510)</f>
        <v>40510</v>
      </c>
      <c r="R66" t="str">
        <f ca="1">IFERROR(__xludf.DUMMYFUNCTION("""COMPUTED_VALUE"""),"ОДЕССА-ЗАС I")</f>
        <v>ОДЕССА-ЗАС I</v>
      </c>
      <c r="S66" t="str">
        <f ca="1">IFERROR(__xludf.DUMMYFUNCTION("""COMPUTED_VALUE"""),"10.08.21 17-30")</f>
        <v>10.08.21 17-30</v>
      </c>
      <c r="T66">
        <f ca="1">IFERROR(__xludf.DUMMYFUNCTION("""COMPUTED_VALUE"""),1879)</f>
        <v>1879</v>
      </c>
      <c r="U66" t="str">
        <f ca="1">IFERROR(__xludf.DUMMYFUNCTION("""COMPUTED_VALUE"""),"10.10.2021 ДР")</f>
        <v>10.10.2021 ДР</v>
      </c>
      <c r="Z66" t="str">
        <f ca="1">IFERROR(__xludf.DUMMYFUNCTION("""COMPUTED_VALUE"""),"ООО ""ИНДУСТРИАЛЬНЫЕ РЕШЕНИЯ""")</f>
        <v>ООО "ИНДУСТРИАЛЬНЫЕ РЕШЕНИЯ"</v>
      </c>
      <c r="AA66" t="str">
        <f ca="1">IFERROR(__xludf.DUMMYFUNCTION("""COMPUTED_VALUE"""),"12-783")</f>
        <v>12-783</v>
      </c>
      <c r="AI66" s="21">
        <f ca="1">IFERROR(__xludf.DUMMYFUNCTION("""COMPUTED_VALUE"""),44420.357662037)</f>
        <v>44420.357662037</v>
      </c>
    </row>
    <row r="67" spans="1:35" ht="13" x14ac:dyDescent="0.15">
      <c r="A67">
        <f ca="1">IFERROR(__xludf.DUMMYFUNCTION("""COMPUTED_VALUE"""),311)</f>
        <v>311</v>
      </c>
      <c r="B67" t="str">
        <f ca="1">IFERROR(__xludf.DUMMYFUNCTION("""COMPUTED_VALUE"""),"Трансцентр")</f>
        <v>Трансцентр</v>
      </c>
      <c r="C67" t="str">
        <f ca="1">IFERROR(__xludf.DUMMYFUNCTION("""COMPUTED_VALUE"""),"Индустриальные решения")</f>
        <v>Индустриальные решения</v>
      </c>
      <c r="D67">
        <f ca="1">IFERROR(__xludf.DUMMYFUNCTION("""COMPUTED_VALUE"""),62813381)</f>
        <v>62813381</v>
      </c>
      <c r="E67" t="str">
        <f ca="1">IFERROR(__xludf.DUMMYFUNCTION("""COMPUTED_VALUE"""),"60 ПОЛУВАГОНЫ")</f>
        <v>60 ПОЛУВАГОНЫ</v>
      </c>
      <c r="F67">
        <f ca="1">IFERROR(__xludf.DUMMYFUNCTION("""COMPUTED_VALUE"""),42103)</f>
        <v>42103</v>
      </c>
      <c r="G67" t="str">
        <f ca="1">IFERROR(__xludf.DUMMYFUNCTION("""COMPUTED_VALUE"""),"ВАГОНЫ ЖД СВ")</f>
        <v>ВАГОНЫ ЖД СВ</v>
      </c>
      <c r="H67">
        <f ca="1">IFERROR(__xludf.DUMMYFUNCTION("""COMPUTED_VALUE"""),69)</f>
        <v>69</v>
      </c>
      <c r="I67">
        <f ca="1">IFERROR(__xludf.DUMMYFUNCTION("""COMPUTED_VALUE"""),4279)</f>
        <v>4279</v>
      </c>
      <c r="J67" t="str">
        <f ca="1">IFERROR(__xludf.DUMMYFUNCTION("""COMPUTED_VALUE"""),"3501 (34000-055-34850) ШЕПЕТОВКА - УШИЦА")</f>
        <v>3501 (34000-055-34850) ШЕПЕТОВКА - УШИЦА</v>
      </c>
      <c r="K67">
        <f ca="1">IFERROR(__xludf.DUMMYFUNCTION("""COMPUTED_VALUE"""),34000)</f>
        <v>34000</v>
      </c>
      <c r="L67" t="str">
        <f ca="1">IFERROR(__xludf.DUMMYFUNCTION("""COMPUTED_VALUE"""),"ШЕПЕТОВКА")</f>
        <v>ШЕПЕТОВКА</v>
      </c>
      <c r="M67" t="str">
        <f ca="1">IFERROR(__xludf.DUMMYFUNCTION("""COMPUTED_VALUE"""),"12.08.21 01-01")</f>
        <v>12.08.21 01-01</v>
      </c>
      <c r="N67" t="str">
        <f ca="1">IFERROR(__xludf.DUMMYFUNCTION("""COMPUTED_VALUE"""),"05 ФОРМ")</f>
        <v>05 ФОРМ</v>
      </c>
      <c r="O67">
        <f ca="1">IFERROR(__xludf.DUMMYFUNCTION("""COMPUTED_VALUE"""),34780)</f>
        <v>34780</v>
      </c>
      <c r="P67" t="str">
        <f ca="1">IFERROR(__xludf.DUMMYFUNCTION("""COMPUTED_VALUE"""),"МАЙДАН-ВИЛА")</f>
        <v>МАЙДАН-ВИЛА</v>
      </c>
      <c r="Q67">
        <f ca="1">IFERROR(__xludf.DUMMYFUNCTION("""COMPUTED_VALUE"""),34780)</f>
        <v>34780</v>
      </c>
      <c r="R67" t="str">
        <f ca="1">IFERROR(__xludf.DUMMYFUNCTION("""COMPUTED_VALUE"""),"МАЙДАН-ВИЛА")</f>
        <v>МАЙДАН-ВИЛА</v>
      </c>
      <c r="S67" t="str">
        <f ca="1">IFERROR(__xludf.DUMMYFUNCTION("""COMPUTED_VALUE"""),"29.07.21 13-10")</f>
        <v>29.07.21 13-10</v>
      </c>
      <c r="T67">
        <f ca="1">IFERROR(__xludf.DUMMYFUNCTION("""COMPUTED_VALUE"""),0)</f>
        <v>0</v>
      </c>
      <c r="U67" t="str">
        <f ca="1">IFERROR(__xludf.DUMMYFUNCTION("""COMPUTED_VALUE"""),"10.10.2021 ДР")</f>
        <v>10.10.2021 ДР</v>
      </c>
      <c r="Z67" t="str">
        <f ca="1">IFERROR(__xludf.DUMMYFUNCTION("""COMPUTED_VALUE"""),"ООО ""ИНДУСТРИАЛЬНЫЕ РЕШЕНИЯ""")</f>
        <v>ООО "ИНДУСТРИАЛЬНЫЕ РЕШЕНИЯ"</v>
      </c>
      <c r="AA67" t="str">
        <f ca="1">IFERROR(__xludf.DUMMYFUNCTION("""COMPUTED_VALUE"""),"12-783")</f>
        <v>12-783</v>
      </c>
      <c r="AB67" t="str">
        <f ca="1">IFERROR(__xludf.DUMMYFUNCTION("""COMPUTED_VALUE"""),"32 Ю-ЗАП")</f>
        <v>32 Ю-ЗАП</v>
      </c>
      <c r="AC67" t="str">
        <f ca="1">IFERROR(__xludf.DUMMYFUNCTION("""COMPUTED_VALUE"""),"34000 ШЕПЕТОВКА")</f>
        <v>34000 ШЕПЕТОВКА</v>
      </c>
      <c r="AD67" t="str">
        <f ca="1">IFERROR(__xludf.DUMMYFUNCTION("""COMPUTED_VALUE"""),"07.03.21 20-20")</f>
        <v>07.03.21 20-20</v>
      </c>
      <c r="AE67" t="str">
        <f ca="1">IFERROR(__xludf.DUMMYFUNCTION("""COMPUTED_VALUE"""),"540 НEИCПPAВНOCТЬ ЗAПOPA ЛЮКA")</f>
        <v>540 НEИCПPAВНOCТЬ ЗAПOPA ЛЮКA</v>
      </c>
      <c r="AF67" t="str">
        <f ca="1">IFERROR(__xludf.DUMMYFUNCTION("""COMPUTED_VALUE"""),"32 Ю-ЗАП")</f>
        <v>32 Ю-ЗАП</v>
      </c>
      <c r="AG67" t="str">
        <f ca="1">IFERROR(__xludf.DUMMYFUNCTION("""COMPUTED_VALUE"""),"34000 ШЕПЕТОВКА")</f>
        <v>34000 ШЕПЕТОВКА</v>
      </c>
      <c r="AH67" t="str">
        <f ca="1">IFERROR(__xludf.DUMMYFUNCTION("""COMPUTED_VALUE"""),"13.03.21 11-00")</f>
        <v>13.03.21 11-00</v>
      </c>
      <c r="AI67" s="21">
        <f ca="1">IFERROR(__xludf.DUMMYFUNCTION("""COMPUTED_VALUE"""),44420.357662037)</f>
        <v>44420.357662037</v>
      </c>
    </row>
    <row r="68" spans="1:35" ht="13" x14ac:dyDescent="0.15">
      <c r="A68">
        <f ca="1">IFERROR(__xludf.DUMMYFUNCTION("""COMPUTED_VALUE"""),312)</f>
        <v>312</v>
      </c>
      <c r="B68" t="str">
        <f ca="1">IFERROR(__xludf.DUMMYFUNCTION("""COMPUTED_VALUE"""),"Енко Ентерпрайз")</f>
        <v>Енко Ентерпрайз</v>
      </c>
      <c r="C68" t="str">
        <f ca="1">IFERROR(__xludf.DUMMYFUNCTION("""COMPUTED_VALUE"""),"Индустриальные решения")</f>
        <v>Индустриальные решения</v>
      </c>
      <c r="D68">
        <f ca="1">IFERROR(__xludf.DUMMYFUNCTION("""COMPUTED_VALUE"""),62835129)</f>
        <v>62835129</v>
      </c>
      <c r="E68" t="str">
        <f ca="1">IFERROR(__xludf.DUMMYFUNCTION("""COMPUTED_VALUE"""),"60 ПОЛУВАГОНЫ")</f>
        <v>60 ПОЛУВАГОНЫ</v>
      </c>
      <c r="F68">
        <f ca="1">IFERROR(__xludf.DUMMYFUNCTION("""COMPUTED_VALUE"""),42103)</f>
        <v>42103</v>
      </c>
      <c r="G68" t="str">
        <f ca="1">IFERROR(__xludf.DUMMYFUNCTION("""COMPUTED_VALUE"""),"ВАГОНЫ ЖД СВ")</f>
        <v>ВАГОНЫ ЖД СВ</v>
      </c>
      <c r="H68">
        <f ca="1">IFERROR(__xludf.DUMMYFUNCTION("""COMPUTED_VALUE"""),0)</f>
        <v>0</v>
      </c>
      <c r="I68">
        <f ca="1">IFERROR(__xludf.DUMMYFUNCTION("""COMPUTED_VALUE"""),5986)</f>
        <v>5986</v>
      </c>
      <c r="J68" t="str">
        <f ca="1">IFERROR(__xludf.DUMMYFUNCTION("""COMPUTED_VALUE"""),"3721 (40510-314-40020) ОДЕССА-ЗАС I - ОДЕС-ТОВАРН")</f>
        <v>3721 (40510-314-40020) ОДЕССА-ЗАС I - ОДЕС-ТОВАРН</v>
      </c>
      <c r="K68">
        <f ca="1">IFERROR(__xludf.DUMMYFUNCTION("""COMPUTED_VALUE"""),40130)</f>
        <v>40130</v>
      </c>
      <c r="L68" t="str">
        <f ca="1">IFERROR(__xludf.DUMMYFUNCTION("""COMPUTED_VALUE"""),"ОДЕС-ЗАС II")</f>
        <v>ОДЕС-ЗАС II</v>
      </c>
      <c r="M68" t="str">
        <f ca="1">IFERROR(__xludf.DUMMYFUNCTION("""COMPUTED_VALUE"""),"11.08.21 14-50")</f>
        <v>11.08.21 14-50</v>
      </c>
      <c r="N68" t="str">
        <f ca="1">IFERROR(__xludf.DUMMYFUNCTION("""COMPUTED_VALUE"""),"86 ОДПВ")</f>
        <v>86 ОДПВ</v>
      </c>
      <c r="O68">
        <f ca="1">IFERROR(__xludf.DUMMYFUNCTION("""COMPUTED_VALUE"""),41190)</f>
        <v>41190</v>
      </c>
      <c r="P68" t="str">
        <f ca="1">IFERROR(__xludf.DUMMYFUNCTION("""COMPUTED_VALUE"""),"ПОМОШНАЯ")</f>
        <v>ПОМОШНАЯ</v>
      </c>
      <c r="Q68">
        <f ca="1">IFERROR(__xludf.DUMMYFUNCTION("""COMPUTED_VALUE"""),40130)</f>
        <v>40130</v>
      </c>
      <c r="R68" t="str">
        <f ca="1">IFERROR(__xludf.DUMMYFUNCTION("""COMPUTED_VALUE"""),"ОДЕС-ЗАС II")</f>
        <v>ОДЕС-ЗАС II</v>
      </c>
      <c r="S68" t="str">
        <f ca="1">IFERROR(__xludf.DUMMYFUNCTION("""COMPUTED_VALUE"""),"11.08.21 14-50")</f>
        <v>11.08.21 14-50</v>
      </c>
      <c r="T68">
        <f ca="1">IFERROR(__xludf.DUMMYFUNCTION("""COMPUTED_VALUE"""),1879)</f>
        <v>1879</v>
      </c>
      <c r="U68" t="str">
        <f ca="1">IFERROR(__xludf.DUMMYFUNCTION("""COMPUTED_VALUE"""),"11.10.2021 ДР")</f>
        <v>11.10.2021 ДР</v>
      </c>
      <c r="Z68" t="str">
        <f ca="1">IFERROR(__xludf.DUMMYFUNCTION("""COMPUTED_VALUE"""),"ООО ""ИНДУСТРИАЛЬНЫЕ РЕШЕНИЯ""")</f>
        <v>ООО "ИНДУСТРИАЛЬНЫЕ РЕШЕНИЯ"</v>
      </c>
      <c r="AA68" t="str">
        <f ca="1">IFERROR(__xludf.DUMMYFUNCTION("""COMPUTED_VALUE"""),"12-783")</f>
        <v>12-783</v>
      </c>
      <c r="AI68" s="21">
        <f ca="1">IFERROR(__xludf.DUMMYFUNCTION("""COMPUTED_VALUE"""),44420.357662037)</f>
        <v>44420.357662037</v>
      </c>
    </row>
    <row r="69" spans="1:35" ht="13" x14ac:dyDescent="0.15">
      <c r="A69">
        <f ca="1">IFERROR(__xludf.DUMMYFUNCTION("""COMPUTED_VALUE"""),313)</f>
        <v>313</v>
      </c>
      <c r="B69" t="str">
        <f ca="1">IFERROR(__xludf.DUMMYFUNCTION("""COMPUTED_VALUE"""),"ГРАНІТ-ЮГ С")</f>
        <v>ГРАНІТ-ЮГ С</v>
      </c>
      <c r="C69" t="str">
        <f ca="1">IFERROR(__xludf.DUMMYFUNCTION("""COMPUTED_VALUE"""),"Индустриальные решения")</f>
        <v>Индустриальные решения</v>
      </c>
      <c r="D69">
        <f ca="1">IFERROR(__xludf.DUMMYFUNCTION("""COMPUTED_VALUE"""),62834817)</f>
        <v>62834817</v>
      </c>
      <c r="E69" t="str">
        <f ca="1">IFERROR(__xludf.DUMMYFUNCTION("""COMPUTED_VALUE"""),"60 ПОЛУВАГОНЫ")</f>
        <v>60 ПОЛУВАГОНЫ</v>
      </c>
      <c r="F69">
        <f ca="1">IFERROR(__xludf.DUMMYFUNCTION("""COMPUTED_VALUE"""),23225)</f>
        <v>23225</v>
      </c>
      <c r="G69" t="str">
        <f ca="1">IFERROR(__xludf.DUMMYFUNCTION("""COMPUTED_VALUE"""),"ОТСЕВ ГРАН КАМ")</f>
        <v>ОТСЕВ ГРАН КАМ</v>
      </c>
      <c r="H69">
        <f ca="1">IFERROR(__xludf.DUMMYFUNCTION("""COMPUTED_VALUE"""),70)</f>
        <v>70</v>
      </c>
      <c r="I69">
        <f ca="1">IFERROR(__xludf.DUMMYFUNCTION("""COMPUTED_VALUE"""),1879)</f>
        <v>1879</v>
      </c>
      <c r="J69" t="str">
        <f ca="1">IFERROR(__xludf.DUMMYFUNCTION("""COMPUTED_VALUE"""),"9501 (41190-721-40510) ПОМОШНАЯ - ОДЕССА-ЗАС I")</f>
        <v>9501 (41190-721-40510) ПОМОШНАЯ - ОДЕССА-ЗАС I</v>
      </c>
      <c r="K69">
        <f ca="1">IFERROR(__xludf.DUMMYFUNCTION("""COMPUTED_VALUE"""),40760)</f>
        <v>40760</v>
      </c>
      <c r="L69" t="str">
        <f ca="1">IFERROR(__xludf.DUMMYFUNCTION("""COMPUTED_VALUE"""),"ПЕРВ-НА-БУГЕ")</f>
        <v>ПЕРВ-НА-БУГЕ</v>
      </c>
      <c r="M69" t="str">
        <f ca="1">IFERROR(__xludf.DUMMYFUNCTION("""COMPUTED_VALUE"""),"12.08.21 06-41")</f>
        <v>12.08.21 06-41</v>
      </c>
      <c r="N69" t="str">
        <f ca="1">IFERROR(__xludf.DUMMYFUNCTION("""COMPUTED_VALUE"""),"03 ПРОС")</f>
        <v>03 ПРОС</v>
      </c>
      <c r="O69">
        <f ca="1">IFERROR(__xludf.DUMMYFUNCTION("""COMPUTED_VALUE"""),40130)</f>
        <v>40130</v>
      </c>
      <c r="P69" t="str">
        <f ca="1">IFERROR(__xludf.DUMMYFUNCTION("""COMPUTED_VALUE"""),"ОДЕС-ЗАС II")</f>
        <v>ОДЕС-ЗАС II</v>
      </c>
      <c r="Q69">
        <f ca="1">IFERROR(__xludf.DUMMYFUNCTION("""COMPUTED_VALUE"""),41190)</f>
        <v>41190</v>
      </c>
      <c r="R69" t="str">
        <f ca="1">IFERROR(__xludf.DUMMYFUNCTION("""COMPUTED_VALUE"""),"ПОМОШНАЯ")</f>
        <v>ПОМОШНАЯ</v>
      </c>
      <c r="S69" t="str">
        <f ca="1">IFERROR(__xludf.DUMMYFUNCTION("""COMPUTED_VALUE"""),"11.08.21 18-10")</f>
        <v>11.08.21 18-10</v>
      </c>
      <c r="T69">
        <f ca="1">IFERROR(__xludf.DUMMYFUNCTION("""COMPUTED_VALUE"""),5986)</f>
        <v>5986</v>
      </c>
      <c r="U69" t="str">
        <f ca="1">IFERROR(__xludf.DUMMYFUNCTION("""COMPUTED_VALUE"""),"10.10.2021 ДР")</f>
        <v>10.10.2021 ДР</v>
      </c>
      <c r="Z69" t="str">
        <f ca="1">IFERROR(__xludf.DUMMYFUNCTION("""COMPUTED_VALUE"""),"ООО ""ИНДУСТРИАЛЬНЫЕ РЕШЕНИЯ""")</f>
        <v>ООО "ИНДУСТРИАЛЬНЫЕ РЕШЕНИЯ"</v>
      </c>
      <c r="AA69" t="str">
        <f ca="1">IFERROR(__xludf.DUMMYFUNCTION("""COMPUTED_VALUE"""),"12-783")</f>
        <v>12-783</v>
      </c>
      <c r="AB69" t="str">
        <f ca="1">IFERROR(__xludf.DUMMYFUNCTION("""COMPUTED_VALUE"""),"40 ОД")</f>
        <v>40 ОД</v>
      </c>
      <c r="AC69" t="str">
        <f ca="1">IFERROR(__xludf.DUMMYFUNCTION("""COMPUTED_VALUE"""),"40510 ОДЕССА-ЗАС I")</f>
        <v>40510 ОДЕССА-ЗАС I</v>
      </c>
      <c r="AD69" t="str">
        <f ca="1">IFERROR(__xludf.DUMMYFUNCTION("""COMPUTED_VALUE"""),"22.05.20 08-29")</f>
        <v>22.05.20 08-29</v>
      </c>
      <c r="AE69" t="str">
        <f ca="1">IFERROR(__xludf.DUMMYFUNCTION("""COMPUTED_VALUE"""),"452")</f>
        <v>452</v>
      </c>
      <c r="AF69" t="str">
        <f ca="1">IFERROR(__xludf.DUMMYFUNCTION("""COMPUTED_VALUE"""),"40 ОД")</f>
        <v>40 ОД</v>
      </c>
      <c r="AG69" t="str">
        <f ca="1">IFERROR(__xludf.DUMMYFUNCTION("""COMPUTED_VALUE"""),"40510 ОДЕССА-ЗАС I")</f>
        <v>40510 ОДЕССА-ЗАС I</v>
      </c>
      <c r="AH69" t="str">
        <f ca="1">IFERROR(__xludf.DUMMYFUNCTION("""COMPUTED_VALUE"""),"22.05.20 11-54")</f>
        <v>22.05.20 11-54</v>
      </c>
      <c r="AI69" s="21">
        <f ca="1">IFERROR(__xludf.DUMMYFUNCTION("""COMPUTED_VALUE"""),44420.357662037)</f>
        <v>44420.357662037</v>
      </c>
    </row>
    <row r="70" spans="1:35" ht="13" x14ac:dyDescent="0.15">
      <c r="A70">
        <f ca="1">IFERROR(__xludf.DUMMYFUNCTION("""COMPUTED_VALUE"""),314)</f>
        <v>314</v>
      </c>
      <c r="B70" t="str">
        <f ca="1">IFERROR(__xludf.DUMMYFUNCTION("""COMPUTED_VALUE"""),"Енко Ентерпрайз")</f>
        <v>Енко Ентерпрайз</v>
      </c>
      <c r="C70" t="str">
        <f ca="1">IFERROR(__xludf.DUMMYFUNCTION("""COMPUTED_VALUE"""),"ФМС груп")</f>
        <v>ФМС груп</v>
      </c>
      <c r="D70">
        <f ca="1">IFERROR(__xludf.DUMMYFUNCTION("""COMPUTED_VALUE"""),62804034)</f>
        <v>62804034</v>
      </c>
      <c r="E70" t="str">
        <f ca="1">IFERROR(__xludf.DUMMYFUNCTION("""COMPUTED_VALUE"""),"60 ПОЛУВАГОНЫ")</f>
        <v>60 ПОЛУВАГОНЫ</v>
      </c>
      <c r="F70">
        <f ca="1">IFERROR(__xludf.DUMMYFUNCTION("""COMPUTED_VALUE"""),23225)</f>
        <v>23225</v>
      </c>
      <c r="G70" t="str">
        <f ca="1">IFERROR(__xludf.DUMMYFUNCTION("""COMPUTED_VALUE"""),"ОТСЕВ ГРАН КАМ")</f>
        <v>ОТСЕВ ГРАН КАМ</v>
      </c>
      <c r="H70">
        <f ca="1">IFERROR(__xludf.DUMMYFUNCTION("""COMPUTED_VALUE"""),70)</f>
        <v>70</v>
      </c>
      <c r="I70">
        <f ca="1">IFERROR(__xludf.DUMMYFUNCTION("""COMPUTED_VALUE"""),1879)</f>
        <v>1879</v>
      </c>
      <c r="J70" t="str">
        <f ca="1">IFERROR(__xludf.DUMMYFUNCTION("""COMPUTED_VALUE"""),"9501 (41190-721-40510) ПОМОШНАЯ - ОДЕССА-ЗАС I")</f>
        <v>9501 (41190-721-40510) ПОМОШНАЯ - ОДЕССА-ЗАС I</v>
      </c>
      <c r="K70">
        <f ca="1">IFERROR(__xludf.DUMMYFUNCTION("""COMPUTED_VALUE"""),40760)</f>
        <v>40760</v>
      </c>
      <c r="L70" t="str">
        <f ca="1">IFERROR(__xludf.DUMMYFUNCTION("""COMPUTED_VALUE"""),"ПЕРВ-НА-БУГЕ")</f>
        <v>ПЕРВ-НА-БУГЕ</v>
      </c>
      <c r="M70" t="str">
        <f ca="1">IFERROR(__xludf.DUMMYFUNCTION("""COMPUTED_VALUE"""),"12.08.21 06-41")</f>
        <v>12.08.21 06-41</v>
      </c>
      <c r="N70" t="str">
        <f ca="1">IFERROR(__xludf.DUMMYFUNCTION("""COMPUTED_VALUE"""),"03 ПРОС")</f>
        <v>03 ПРОС</v>
      </c>
      <c r="O70">
        <f ca="1">IFERROR(__xludf.DUMMYFUNCTION("""COMPUTED_VALUE"""),40130)</f>
        <v>40130</v>
      </c>
      <c r="P70" t="str">
        <f ca="1">IFERROR(__xludf.DUMMYFUNCTION("""COMPUTED_VALUE"""),"ОДЕС-ЗАС II")</f>
        <v>ОДЕС-ЗАС II</v>
      </c>
      <c r="Q70">
        <f ca="1">IFERROR(__xludf.DUMMYFUNCTION("""COMPUTED_VALUE"""),41190)</f>
        <v>41190</v>
      </c>
      <c r="R70" t="str">
        <f ca="1">IFERROR(__xludf.DUMMYFUNCTION("""COMPUTED_VALUE"""),"ПОМОШНАЯ")</f>
        <v>ПОМОШНАЯ</v>
      </c>
      <c r="S70" t="str">
        <f ca="1">IFERROR(__xludf.DUMMYFUNCTION("""COMPUTED_VALUE"""),"11.08.21 18-10")</f>
        <v>11.08.21 18-10</v>
      </c>
      <c r="T70">
        <f ca="1">IFERROR(__xludf.DUMMYFUNCTION("""COMPUTED_VALUE"""),5986)</f>
        <v>5986</v>
      </c>
      <c r="U70" t="str">
        <f ca="1">IFERROR(__xludf.DUMMYFUNCTION("""COMPUTED_VALUE"""),"12.10.2021 ДР")</f>
        <v>12.10.2021 ДР</v>
      </c>
      <c r="Z70" t="str">
        <f ca="1">IFERROR(__xludf.DUMMYFUNCTION("""COMPUTED_VALUE"""),"ООО ""Ф.М.С. групп""")</f>
        <v>ООО "Ф.М.С. групп"</v>
      </c>
      <c r="AA70" t="str">
        <f ca="1">IFERROR(__xludf.DUMMYFUNCTION("""COMPUTED_VALUE"""),"12-783")</f>
        <v>12-783</v>
      </c>
      <c r="AI70" s="21">
        <f ca="1">IFERROR(__xludf.DUMMYFUNCTION("""COMPUTED_VALUE"""),44420.357662037)</f>
        <v>44420.357662037</v>
      </c>
    </row>
    <row r="71" spans="1:35" ht="13" x14ac:dyDescent="0.15">
      <c r="A71">
        <f ca="1">IFERROR(__xludf.DUMMYFUNCTION("""COMPUTED_VALUE"""),315)</f>
        <v>315</v>
      </c>
      <c r="B71" t="str">
        <f ca="1">IFERROR(__xludf.DUMMYFUNCTION("""COMPUTED_VALUE"""),"Енко Ентерпрайз")</f>
        <v>Енко Ентерпрайз</v>
      </c>
      <c r="C71" t="str">
        <f ca="1">IFERROR(__xludf.DUMMYFUNCTION("""COMPUTED_VALUE"""),"ФМС груп")</f>
        <v>ФМС груп</v>
      </c>
      <c r="D71">
        <f ca="1">IFERROR(__xludf.DUMMYFUNCTION("""COMPUTED_VALUE"""),62808910)</f>
        <v>62808910</v>
      </c>
      <c r="E71" t="str">
        <f ca="1">IFERROR(__xludf.DUMMYFUNCTION("""COMPUTED_VALUE"""),"60 ПОЛУВАГОНЫ")</f>
        <v>60 ПОЛУВАГОНЫ</v>
      </c>
      <c r="F71">
        <f ca="1">IFERROR(__xludf.DUMMYFUNCTION("""COMPUTED_VALUE"""),23107)</f>
        <v>23107</v>
      </c>
      <c r="G71" t="str">
        <f ca="1">IFERROR(__xludf.DUMMYFUNCTION("""COMPUTED_VALUE"""),"ПЕСОК СТРОИТ")</f>
        <v>ПЕСОК СТРОИТ</v>
      </c>
      <c r="H71">
        <f ca="1">IFERROR(__xludf.DUMMYFUNCTION("""COMPUTED_VALUE"""),70)</f>
        <v>70</v>
      </c>
      <c r="I71">
        <f ca="1">IFERROR(__xludf.DUMMYFUNCTION("""COMPUTED_VALUE"""),1879)</f>
        <v>1879</v>
      </c>
      <c r="J71" t="str">
        <f ca="1">IFERROR(__xludf.DUMMYFUNCTION("""COMPUTED_VALUE"""),"2728 (40080-322-41300) ОДЕССА-ПЕРЕС - ВОЗНЕСЕНСК")</f>
        <v>2728 (40080-322-41300) ОДЕССА-ПЕРЕС - ВОЗНЕСЕНСК</v>
      </c>
      <c r="K71">
        <f ca="1">IFERROR(__xludf.DUMMYFUNCTION("""COMPUTED_VALUE"""),41300)</f>
        <v>41300</v>
      </c>
      <c r="L71" t="str">
        <f ca="1">IFERROR(__xludf.DUMMYFUNCTION("""COMPUTED_VALUE"""),"ВОЗНЕСЕНСК")</f>
        <v>ВОЗНЕСЕНСК</v>
      </c>
      <c r="M71" t="str">
        <f ca="1">IFERROR(__xludf.DUMMYFUNCTION("""COMPUTED_VALUE"""),"11.08.21 15-25")</f>
        <v>11.08.21 15-25</v>
      </c>
      <c r="N71" t="str">
        <f ca="1">IFERROR(__xludf.DUMMYFUNCTION("""COMPUTED_VALUE"""),"91 ПРДР")</f>
        <v>91 ПРДР</v>
      </c>
      <c r="O71">
        <f ca="1">IFERROR(__xludf.DUMMYFUNCTION("""COMPUTED_VALUE"""),40510)</f>
        <v>40510</v>
      </c>
      <c r="P71" t="str">
        <f ca="1">IFERROR(__xludf.DUMMYFUNCTION("""COMPUTED_VALUE"""),"ОДЕССА-ЗАС I")</f>
        <v>ОДЕССА-ЗАС I</v>
      </c>
      <c r="Q71">
        <f ca="1">IFERROR(__xludf.DUMMYFUNCTION("""COMPUTED_VALUE"""),41300)</f>
        <v>41300</v>
      </c>
      <c r="R71" t="str">
        <f ca="1">IFERROR(__xludf.DUMMYFUNCTION("""COMPUTED_VALUE"""),"ВОЗНЕСЕНСК")</f>
        <v>ВОЗНЕСЕНСК</v>
      </c>
      <c r="S71" t="str">
        <f ca="1">IFERROR(__xludf.DUMMYFUNCTION("""COMPUTED_VALUE"""),"11.08.21 15-25")</f>
        <v>11.08.21 15-25</v>
      </c>
      <c r="T71">
        <f ca="1">IFERROR(__xludf.DUMMYFUNCTION("""COMPUTED_VALUE"""),7307)</f>
        <v>7307</v>
      </c>
      <c r="U71" t="str">
        <f ca="1">IFERROR(__xludf.DUMMYFUNCTION("""COMPUTED_VALUE"""),"12.10.2021 ДР")</f>
        <v>12.10.2021 ДР</v>
      </c>
      <c r="Z71" t="str">
        <f ca="1">IFERROR(__xludf.DUMMYFUNCTION("""COMPUTED_VALUE"""),"ООО ""Ф.М.С. групп""")</f>
        <v>ООО "Ф.М.С. групп"</v>
      </c>
      <c r="AA71" t="str">
        <f ca="1">IFERROR(__xludf.DUMMYFUNCTION("""COMPUTED_VALUE"""),"12-783")</f>
        <v>12-783</v>
      </c>
      <c r="AI71" s="21">
        <f ca="1">IFERROR(__xludf.DUMMYFUNCTION("""COMPUTED_VALUE"""),44420.357662037)</f>
        <v>44420.357662037</v>
      </c>
    </row>
    <row r="72" spans="1:35" ht="13" x14ac:dyDescent="0.15">
      <c r="A72">
        <f ca="1">IFERROR(__xludf.DUMMYFUNCTION("""COMPUTED_VALUE"""),331)</f>
        <v>331</v>
      </c>
      <c r="B72" t="str">
        <f ca="1">IFERROR(__xludf.DUMMYFUNCTION("""COMPUTED_VALUE"""),"Техрейс")</f>
        <v>Техрейс</v>
      </c>
      <c r="C72" t="str">
        <f ca="1">IFERROR(__xludf.DUMMYFUNCTION("""COMPUTED_VALUE"""),"УТЛ")</f>
        <v>УТЛ</v>
      </c>
      <c r="D72">
        <f ca="1">IFERROR(__xludf.DUMMYFUNCTION("""COMPUTED_VALUE"""),67198010)</f>
        <v>67198010</v>
      </c>
      <c r="E72" t="str">
        <f ca="1">IFERROR(__xludf.DUMMYFUNCTION("""COMPUTED_VALUE"""),"60 ПОЛУВАГОНЫ")</f>
        <v>60 ПОЛУВАГОНЫ</v>
      </c>
      <c r="F72">
        <f ca="1">IFERROR(__xludf.DUMMYFUNCTION("""COMPUTED_VALUE"""),42119)</f>
        <v>42119</v>
      </c>
      <c r="G72" t="str">
        <f ca="1">IFERROR(__xludf.DUMMYFUNCTION("""COMPUTED_VALUE"""),"ВАГОНЫ ЖД РЕМОН")</f>
        <v>ВАГОНЫ ЖД РЕМОН</v>
      </c>
      <c r="H72">
        <f ca="1">IFERROR(__xludf.DUMMYFUNCTION("""COMPUTED_VALUE"""),0)</f>
        <v>0</v>
      </c>
      <c r="I72">
        <f ca="1">IFERROR(__xludf.DUMMYFUNCTION("""COMPUTED_VALUE"""),9814)</f>
        <v>9814</v>
      </c>
      <c r="J72" t="str">
        <f ca="1">IFERROR(__xludf.DUMMYFUNCTION("""COMPUTED_VALUE"""),"3554 (46710-363-46690) КРИВ.РОГ-СОР - БАТУРИНСКАЯ")</f>
        <v>3554 (46710-363-46690) КРИВ.РОГ-СОР - БАТУРИНСКАЯ</v>
      </c>
      <c r="K72">
        <f ca="1">IFERROR(__xludf.DUMMYFUNCTION("""COMPUTED_VALUE"""),46690)</f>
        <v>46690</v>
      </c>
      <c r="L72" t="str">
        <f ca="1">IFERROR(__xludf.DUMMYFUNCTION("""COMPUTED_VALUE"""),"БАТУРИНСКАЯ")</f>
        <v>БАТУРИНСКАЯ</v>
      </c>
      <c r="M72" t="str">
        <f ca="1">IFERROR(__xludf.DUMMYFUNCTION("""COMPUTED_VALUE"""),"11.08.21 01-40")</f>
        <v>11.08.21 01-40</v>
      </c>
      <c r="N72" t="str">
        <f ca="1">IFERROR(__xludf.DUMMYFUNCTION("""COMPUTED_VALUE"""),"98 ОТОТ")</f>
        <v>98 ОТОТ</v>
      </c>
      <c r="O72">
        <f ca="1">IFERROR(__xludf.DUMMYFUNCTION("""COMPUTED_VALUE"""),46690)</f>
        <v>46690</v>
      </c>
      <c r="P72" t="str">
        <f ca="1">IFERROR(__xludf.DUMMYFUNCTION("""COMPUTED_VALUE"""),"БАТУРИНСКАЯ")</f>
        <v>БАТУРИНСКАЯ</v>
      </c>
      <c r="Q72">
        <f ca="1">IFERROR(__xludf.DUMMYFUNCTION("""COMPUTED_VALUE"""),46690)</f>
        <v>46690</v>
      </c>
      <c r="R72" t="str">
        <f ca="1">IFERROR(__xludf.DUMMYFUNCTION("""COMPUTED_VALUE"""),"БАТУРИНСКАЯ")</f>
        <v>БАТУРИНСКАЯ</v>
      </c>
      <c r="S72" t="str">
        <f ca="1">IFERROR(__xludf.DUMMYFUNCTION("""COMPUTED_VALUE"""),"08.08.21 21-00")</f>
        <v>08.08.21 21-00</v>
      </c>
      <c r="T72">
        <f ca="1">IFERROR(__xludf.DUMMYFUNCTION("""COMPUTED_VALUE"""),9749)</f>
        <v>9749</v>
      </c>
      <c r="U72" t="str">
        <f ca="1">IFERROR(__xludf.DUMMYFUNCTION("""COMPUTED_VALUE"""),"03.11.2021 ДР")</f>
        <v>03.11.2021 ДР</v>
      </c>
      <c r="Z72" t="str">
        <f ca="1">IFERROR(__xludf.DUMMYFUNCTION("""COMPUTED_VALUE"""),"ООО «УКРТРАНСЛОДЖИСТИК»")</f>
        <v>ООО «УКРТРАНСЛОДЖИСТИК»</v>
      </c>
      <c r="AA72" t="str">
        <f ca="1">IFERROR(__xludf.DUMMYFUNCTION("""COMPUTED_VALUE"""),"12-532")</f>
        <v>12-532</v>
      </c>
      <c r="AB72" t="str">
        <f ca="1">IFERROR(__xludf.DUMMYFUNCTION("""COMPUTED_VALUE"""),"45 ПРИДН")</f>
        <v>45 ПРИДН</v>
      </c>
      <c r="AC72" t="str">
        <f ca="1">IFERROR(__xludf.DUMMYFUNCTION("""COMPUTED_VALUE"""),"46690 БАТУРИНСКАЯ")</f>
        <v>46690 БАТУРИНСКАЯ</v>
      </c>
      <c r="AD72" t="str">
        <f ca="1">IFERROR(__xludf.DUMMYFUNCTION("""COMPUTED_VALUE"""),"08.08.21 21-11")</f>
        <v>08.08.21 21-11</v>
      </c>
      <c r="AE72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72" t="str">
        <f ca="1">IFERROR(__xludf.DUMMYFUNCTION("""COMPUTED_VALUE"""),"45 ПРИДН")</f>
        <v>45 ПРИДН</v>
      </c>
      <c r="AG72" t="str">
        <f ca="1">IFERROR(__xludf.DUMMYFUNCTION("""COMPUTED_VALUE"""),"46720 КРИВОЙ РОГ")</f>
        <v>46720 КРИВОЙ РОГ</v>
      </c>
      <c r="AH72" t="str">
        <f ca="1">IFERROR(__xludf.DUMMYFUNCTION("""COMPUTED_VALUE"""),"21.07.21 17-00")</f>
        <v>21.07.21 17-00</v>
      </c>
      <c r="AI72" s="21">
        <f ca="1">IFERROR(__xludf.DUMMYFUNCTION("""COMPUTED_VALUE"""),44420.357662037)</f>
        <v>44420.357662037</v>
      </c>
    </row>
    <row r="73" spans="1:35" ht="13" x14ac:dyDescent="0.15">
      <c r="A73">
        <f ca="1">IFERROR(__xludf.DUMMYFUNCTION("""COMPUTED_VALUE"""),336)</f>
        <v>336</v>
      </c>
      <c r="B73" t="str">
        <f ca="1">IFERROR(__xludf.DUMMYFUNCTION("""COMPUTED_VALUE"""),"Ламан-Шипинг")</f>
        <v>Ламан-Шипинг</v>
      </c>
      <c r="C73" t="str">
        <f ca="1">IFERROR(__xludf.DUMMYFUNCTION("""COMPUTED_VALUE"""),"УТЛ")</f>
        <v>УТЛ</v>
      </c>
      <c r="D73">
        <f ca="1">IFERROR(__xludf.DUMMYFUNCTION("""COMPUTED_VALUE"""),61104337)</f>
        <v>61104337</v>
      </c>
      <c r="E73" t="str">
        <f ca="1">IFERROR(__xludf.DUMMYFUNCTION("""COMPUTED_VALUE"""),"60 ПОЛУВАГОНЫ")</f>
        <v>60 ПОЛУВАГОНЫ</v>
      </c>
      <c r="F73">
        <f ca="1">IFERROR(__xludf.DUMMYFUNCTION("""COMPUTED_VALUE"""),23107)</f>
        <v>23107</v>
      </c>
      <c r="G73" t="str">
        <f ca="1">IFERROR(__xludf.DUMMYFUNCTION("""COMPUTED_VALUE"""),"ПЕСОК СТРОИТ")</f>
        <v>ПЕСОК СТРОИТ</v>
      </c>
      <c r="H73">
        <f ca="1">IFERROR(__xludf.DUMMYFUNCTION("""COMPUTED_VALUE"""),70)</f>
        <v>70</v>
      </c>
      <c r="I73">
        <f ca="1">IFERROR(__xludf.DUMMYFUNCTION("""COMPUTED_VALUE"""),1213)</f>
        <v>1213</v>
      </c>
      <c r="J73" t="str">
        <f ca="1">IFERROR(__xludf.DUMMYFUNCTION("""COMPUTED_VALUE"""),"9512 (34750-007-32000) ПЕНИЗЕВИЧИ - ДАРНИЦА")</f>
        <v>9512 (34750-007-32000) ПЕНИЗЕВИЧИ - ДАРНИЦА</v>
      </c>
      <c r="K73">
        <f ca="1">IFERROR(__xludf.DUMMYFUNCTION("""COMPUTED_VALUE"""),32010)</f>
        <v>32010</v>
      </c>
      <c r="L73" t="str">
        <f ca="1">IFERROR(__xludf.DUMMYFUNCTION("""COMPUTED_VALUE"""),"КИЕВ-ДЕМЕЕВС")</f>
        <v>КИЕВ-ДЕМЕЕВС</v>
      </c>
      <c r="M73" t="str">
        <f ca="1">IFERROR(__xludf.DUMMYFUNCTION("""COMPUTED_VALUE"""),"11.08.21 16-54")</f>
        <v>11.08.21 16-54</v>
      </c>
      <c r="N73" t="str">
        <f ca="1">IFERROR(__xludf.DUMMYFUNCTION("""COMPUTED_VALUE"""),"01 ПРИБ")</f>
        <v>01 ПРИБ</v>
      </c>
      <c r="O73">
        <f ca="1">IFERROR(__xludf.DUMMYFUNCTION("""COMPUTED_VALUE"""),32330)</f>
        <v>32330</v>
      </c>
      <c r="P73" t="str">
        <f ca="1">IFERROR(__xludf.DUMMYFUNCTION("""COMPUTED_VALUE"""),"БРОВАРЫ")</f>
        <v>БРОВАРЫ</v>
      </c>
      <c r="Q73">
        <f ca="1">IFERROR(__xludf.DUMMYFUNCTION("""COMPUTED_VALUE"""),34750)</f>
        <v>34750</v>
      </c>
      <c r="R73" t="str">
        <f ca="1">IFERROR(__xludf.DUMMYFUNCTION("""COMPUTED_VALUE"""),"ПЕНИЗЕВИЧИ")</f>
        <v>ПЕНИЗЕВИЧИ</v>
      </c>
      <c r="S73" t="str">
        <f ca="1">IFERROR(__xludf.DUMMYFUNCTION("""COMPUTED_VALUE"""),"11.08.21 12-00")</f>
        <v>11.08.21 12-00</v>
      </c>
      <c r="T73">
        <f ca="1">IFERROR(__xludf.DUMMYFUNCTION("""COMPUTED_VALUE"""),3437)</f>
        <v>3437</v>
      </c>
      <c r="U73" t="str">
        <f ca="1">IFERROR(__xludf.DUMMYFUNCTION("""COMPUTED_VALUE"""),"25.02.2022 ДР")</f>
        <v>25.02.2022 ДР</v>
      </c>
      <c r="Z73" t="str">
        <f ca="1">IFERROR(__xludf.DUMMYFUNCTION("""COMPUTED_VALUE"""),"ООО «ОТП ЛИЗИНГ»")</f>
        <v>ООО «ОТП ЛИЗИНГ»</v>
      </c>
      <c r="AA73" t="str">
        <f ca="1">IFERROR(__xludf.DUMMYFUNCTION("""COMPUTED_VALUE"""),"12-9745")</f>
        <v>12-9745</v>
      </c>
      <c r="AB73" t="str">
        <f ca="1">IFERROR(__xludf.DUMMYFUNCTION("""COMPUTED_VALUE"""),"48 ДОН")</f>
        <v>48 ДОН</v>
      </c>
      <c r="AC73" t="str">
        <f ca="1">IFERROR(__xludf.DUMMYFUNCTION("""COMPUTED_VALUE"""),"48200 ПОКРОВСК")</f>
        <v>48200 ПОКРОВСК</v>
      </c>
      <c r="AD73" t="str">
        <f ca="1">IFERROR(__xludf.DUMMYFUNCTION("""COMPUTED_VALUE"""),"28.02.21 18-11")</f>
        <v>28.02.21 18-11</v>
      </c>
      <c r="AE73" t="str">
        <f ca="1">IFERROR(__xludf.DUMMYFUNCTION("""COMPUTED_VALUE"""),"300")</f>
        <v>300</v>
      </c>
      <c r="AF73" t="str">
        <f ca="1">IFERROR(__xludf.DUMMYFUNCTION("""COMPUTED_VALUE"""),"48 ДОН")</f>
        <v>48 ДОН</v>
      </c>
      <c r="AG73" t="str">
        <f ca="1">IFERROR(__xludf.DUMMYFUNCTION("""COMPUTED_VALUE"""),"48200 ПОКРОВСК")</f>
        <v>48200 ПОКРОВСК</v>
      </c>
      <c r="AH73" t="str">
        <f ca="1">IFERROR(__xludf.DUMMYFUNCTION("""COMPUTED_VALUE"""),"03.03.21 10-20")</f>
        <v>03.03.21 10-20</v>
      </c>
      <c r="AI73" s="21">
        <f ca="1">IFERROR(__xludf.DUMMYFUNCTION("""COMPUTED_VALUE"""),44420.357662037)</f>
        <v>44420.357662037</v>
      </c>
    </row>
    <row r="74" spans="1:35" ht="13" x14ac:dyDescent="0.15">
      <c r="A74">
        <f ca="1">IFERROR(__xludf.DUMMYFUNCTION("""COMPUTED_VALUE"""),337)</f>
        <v>337</v>
      </c>
      <c r="B74" t="str">
        <f ca="1">IFERROR(__xludf.DUMMYFUNCTION("""COMPUTED_VALUE"""),"Лидер")</f>
        <v>Лидер</v>
      </c>
      <c r="C74" t="str">
        <f ca="1">IFERROR(__xludf.DUMMYFUNCTION("""COMPUTED_VALUE"""),"УТЛ")</f>
        <v>УТЛ</v>
      </c>
      <c r="D74">
        <f ca="1">IFERROR(__xludf.DUMMYFUNCTION("""COMPUTED_VALUE"""),61104816)</f>
        <v>61104816</v>
      </c>
      <c r="E74" t="str">
        <f ca="1">IFERROR(__xludf.DUMMYFUNCTION("""COMPUTED_VALUE"""),"60 ПОЛУВАГОНЫ")</f>
        <v>60 ПОЛУВАГОНЫ</v>
      </c>
      <c r="F74">
        <f ca="1">IFERROR(__xludf.DUMMYFUNCTION("""COMPUTED_VALUE"""),42103)</f>
        <v>42103</v>
      </c>
      <c r="G74" t="str">
        <f ca="1">IFERROR(__xludf.DUMMYFUNCTION("""COMPUTED_VALUE"""),"ВАГОНЫ ЖД СВ")</f>
        <v>ВАГОНЫ ЖД СВ</v>
      </c>
      <c r="H74">
        <f ca="1">IFERROR(__xludf.DUMMYFUNCTION("""COMPUTED_VALUE"""),0)</f>
        <v>0</v>
      </c>
      <c r="I74">
        <f ca="1">IFERROR(__xludf.DUMMYFUNCTION("""COMPUTED_VALUE"""),3437)</f>
        <v>3437</v>
      </c>
      <c r="J74" t="str">
        <f ca="1">IFERROR(__xludf.DUMMYFUNCTION("""COMPUTED_VALUE"""),"2434 (43000-226-32000) КУПЯНСК-СОРТ - ДАРНИЦА")</f>
        <v>2434 (43000-226-32000) КУПЯНСК-СОРТ - ДАРНИЦА</v>
      </c>
      <c r="K74">
        <f ca="1">IFERROR(__xludf.DUMMYFUNCTION("""COMPUTED_VALUE"""),44020)</f>
        <v>44020</v>
      </c>
      <c r="L74" t="str">
        <f ca="1">IFERROR(__xludf.DUMMYFUNCTION("""COMPUTED_VALUE"""),"ОСНОВА")</f>
        <v>ОСНОВА</v>
      </c>
      <c r="M74" t="str">
        <f ca="1">IFERROR(__xludf.DUMMYFUNCTION("""COMPUTED_VALUE"""),"12.08.21 07-25")</f>
        <v>12.08.21 07-25</v>
      </c>
      <c r="N74" t="str">
        <f ca="1">IFERROR(__xludf.DUMMYFUNCTION("""COMPUTED_VALUE"""),"51 ПРИБ")</f>
        <v>51 ПРИБ</v>
      </c>
      <c r="O74">
        <f ca="1">IFERROR(__xludf.DUMMYFUNCTION("""COMPUTED_VALUE"""),34750)</f>
        <v>34750</v>
      </c>
      <c r="P74" t="str">
        <f ca="1">IFERROR(__xludf.DUMMYFUNCTION("""COMPUTED_VALUE"""),"ПЕНИЗЕВИЧИ")</f>
        <v>ПЕНИЗЕВИЧИ</v>
      </c>
      <c r="Q74">
        <f ca="1">IFERROR(__xludf.DUMMYFUNCTION("""COMPUTED_VALUE"""),49870)</f>
        <v>49870</v>
      </c>
      <c r="R74" t="str">
        <f ca="1">IFERROR(__xludf.DUMMYFUNCTION("""COMPUTED_VALUE"""),"РУБЕЖНОЕ")</f>
        <v>РУБЕЖНОЕ</v>
      </c>
      <c r="S74" t="str">
        <f ca="1">IFERROR(__xludf.DUMMYFUNCTION("""COMPUTED_VALUE"""),"09.08.21 22-15")</f>
        <v>09.08.21 22-15</v>
      </c>
      <c r="T74">
        <f ca="1">IFERROR(__xludf.DUMMYFUNCTION("""COMPUTED_VALUE"""),2992)</f>
        <v>2992</v>
      </c>
      <c r="U74" t="str">
        <f ca="1">IFERROR(__xludf.DUMMYFUNCTION("""COMPUTED_VALUE"""),"25.02.2022 ДР")</f>
        <v>25.02.2022 ДР</v>
      </c>
      <c r="Z74" t="str">
        <f ca="1">IFERROR(__xludf.DUMMYFUNCTION("""COMPUTED_VALUE"""),"ООО «ОТП ЛИЗИНГ»")</f>
        <v>ООО «ОТП ЛИЗИНГ»</v>
      </c>
      <c r="AA74" t="str">
        <f ca="1">IFERROR(__xludf.DUMMYFUNCTION("""COMPUTED_VALUE"""),"12-9745")</f>
        <v>12-9745</v>
      </c>
      <c r="AB74" t="str">
        <f ca="1">IFERROR(__xludf.DUMMYFUNCTION("""COMPUTED_VALUE"""),"48 ДОН")</f>
        <v>48 ДОН</v>
      </c>
      <c r="AC74" t="str">
        <f ca="1">IFERROR(__xludf.DUMMYFUNCTION("""COMPUTED_VALUE"""),"48200 ПОКРОВСК")</f>
        <v>48200 ПОКРОВСК</v>
      </c>
      <c r="AD74" t="str">
        <f ca="1">IFERROR(__xludf.DUMMYFUNCTION("""COMPUTED_VALUE"""),"28.02.21 18-11")</f>
        <v>28.02.21 18-11</v>
      </c>
      <c r="AE74" t="str">
        <f ca="1">IFERROR(__xludf.DUMMYFUNCTION("""COMPUTED_VALUE"""),"300")</f>
        <v>300</v>
      </c>
      <c r="AF74" t="str">
        <f ca="1">IFERROR(__xludf.DUMMYFUNCTION("""COMPUTED_VALUE"""),"48 ДОН")</f>
        <v>48 ДОН</v>
      </c>
      <c r="AG74" t="str">
        <f ca="1">IFERROR(__xludf.DUMMYFUNCTION("""COMPUTED_VALUE"""),"48200 ПОКРОВСК")</f>
        <v>48200 ПОКРОВСК</v>
      </c>
      <c r="AH74" t="str">
        <f ca="1">IFERROR(__xludf.DUMMYFUNCTION("""COMPUTED_VALUE"""),"03.03.21 10-20")</f>
        <v>03.03.21 10-20</v>
      </c>
      <c r="AI74" s="21">
        <f ca="1">IFERROR(__xludf.DUMMYFUNCTION("""COMPUTED_VALUE"""),44420.357662037)</f>
        <v>44420.357662037</v>
      </c>
    </row>
    <row r="75" spans="1:35" ht="13" x14ac:dyDescent="0.15">
      <c r="A75">
        <f ca="1">IFERROR(__xludf.DUMMYFUNCTION("""COMPUTED_VALUE"""),338)</f>
        <v>338</v>
      </c>
      <c r="B75" t="str">
        <f ca="1">IFERROR(__xludf.DUMMYFUNCTION("""COMPUTED_VALUE"""),"Техрейс")</f>
        <v>Техрейс</v>
      </c>
      <c r="C75" t="str">
        <f ca="1">IFERROR(__xludf.DUMMYFUNCTION("""COMPUTED_VALUE"""),"УТЛ")</f>
        <v>УТЛ</v>
      </c>
      <c r="D75">
        <f ca="1">IFERROR(__xludf.DUMMYFUNCTION("""COMPUTED_VALUE"""),61105078)</f>
        <v>61105078</v>
      </c>
      <c r="E75" t="str">
        <f ca="1">IFERROR(__xludf.DUMMYFUNCTION("""COMPUTED_VALUE"""),"60 ПОЛУВАГОНЫ")</f>
        <v>60 ПОЛУВАГОНЫ</v>
      </c>
      <c r="F75">
        <f ca="1">IFERROR(__xludf.DUMMYFUNCTION("""COMPUTED_VALUE"""),14109)</f>
        <v>14109</v>
      </c>
      <c r="G75" t="str">
        <f ca="1">IFERROR(__xludf.DUMMYFUNCTION("""COMPUTED_VALUE"""),"ГЕМАТИТ")</f>
        <v>ГЕМАТИТ</v>
      </c>
      <c r="H75">
        <f ca="1">IFERROR(__xludf.DUMMYFUNCTION("""COMPUTED_VALUE"""),70)</f>
        <v>70</v>
      </c>
      <c r="I75">
        <f ca="1">IFERROR(__xludf.DUMMYFUNCTION("""COMPUTED_VALUE"""),5786)</f>
        <v>5786</v>
      </c>
      <c r="J75" t="str">
        <f ca="1">IFERROR(__xludf.DUMMYFUNCTION("""COMPUTED_VALUE"""),"2760 (40050-083-46720) БЕРЕГОВАЯ - КРИВОЙ РОГ")</f>
        <v>2760 (40050-083-46720) БЕРЕГОВАЯ - КРИВОЙ РОГ</v>
      </c>
      <c r="K75">
        <f ca="1">IFERROR(__xludf.DUMMYFUNCTION("""COMPUTED_VALUE"""),40050)</f>
        <v>40050</v>
      </c>
      <c r="L75" t="str">
        <f ca="1">IFERROR(__xludf.DUMMYFUNCTION("""COMPUTED_VALUE"""),"БЕРЕГОВАЯ")</f>
        <v>БЕРЕГОВАЯ</v>
      </c>
      <c r="M75" t="str">
        <f ca="1">IFERROR(__xludf.DUMMYFUNCTION("""COMPUTED_VALUE"""),"12.08.21 01-10")</f>
        <v>12.08.21 01-10</v>
      </c>
      <c r="N75" t="str">
        <f ca="1">IFERROR(__xludf.DUMMYFUNCTION("""COMPUTED_VALUE"""),"21 ВЫГ2")</f>
        <v>21 ВЫГ2</v>
      </c>
      <c r="O75">
        <f ca="1">IFERROR(__xludf.DUMMYFUNCTION("""COMPUTED_VALUE"""),40060)</f>
        <v>40060</v>
      </c>
      <c r="P75" t="str">
        <f ca="1">IFERROR(__xludf.DUMMYFUNCTION("""COMPUTED_VALUE"""),"БЕРЕГОВАЯ-Э")</f>
        <v>БЕРЕГОВАЯ-Э</v>
      </c>
      <c r="Q75">
        <f ca="1">IFERROR(__xludf.DUMMYFUNCTION("""COMPUTED_VALUE"""),46720)</f>
        <v>46720</v>
      </c>
      <c r="R75" t="str">
        <f ca="1">IFERROR(__xludf.DUMMYFUNCTION("""COMPUTED_VALUE"""),"КРИВОЙ РОГ")</f>
        <v>КРИВОЙ РОГ</v>
      </c>
      <c r="S75" t="str">
        <f ca="1">IFERROR(__xludf.DUMMYFUNCTION("""COMPUTED_VALUE"""),"10.08.21 05-30")</f>
        <v>10.08.21 05-30</v>
      </c>
      <c r="U75" t="str">
        <f ca="1">IFERROR(__xludf.DUMMYFUNCTION("""COMPUTED_VALUE"""),"08.02.2022 ДР")</f>
        <v>08.02.2022 ДР</v>
      </c>
      <c r="Z75" t="str">
        <f ca="1">IFERROR(__xludf.DUMMYFUNCTION("""COMPUTED_VALUE"""),"ООО «ОТП ЛИЗИНГ»")</f>
        <v>ООО «ОТП ЛИЗИНГ»</v>
      </c>
      <c r="AA75" t="str">
        <f ca="1">IFERROR(__xludf.DUMMYFUNCTION("""COMPUTED_VALUE"""),"12-9745")</f>
        <v>12-9745</v>
      </c>
      <c r="AB75" t="str">
        <f ca="1">IFERROR(__xludf.DUMMYFUNCTION("""COMPUTED_VALUE"""),"45 ПРИДН")</f>
        <v>45 ПРИДН</v>
      </c>
      <c r="AC75" t="str">
        <f ca="1">IFERROR(__xludf.DUMMYFUNCTION("""COMPUTED_VALUE"""),"47600 МЕЛИТОПОЛЬ")</f>
        <v>47600 МЕЛИТОПОЛЬ</v>
      </c>
      <c r="AD75" t="str">
        <f ca="1">IFERROR(__xludf.DUMMYFUNCTION("""COMPUTED_VALUE"""),"05.02.21 02-08")</f>
        <v>05.02.21 02-08</v>
      </c>
      <c r="AE75" t="str">
        <f ca="1">IFERROR(__xludf.DUMMYFUNCTION("""COMPUTED_VALUE"""),"570 ИCТEК КAЛЕНДАРНЫЙ CPOК ДEПOВCКОГО PEМOНТA")</f>
        <v>570 ИCТEК КAЛЕНДАРНЫЙ CPOК ДEПOВCКОГО PEМOНТA</v>
      </c>
      <c r="AF75" t="str">
        <f ca="1">IFERROR(__xludf.DUMMYFUNCTION("""COMPUTED_VALUE"""),"45 ПРИДН")</f>
        <v>45 ПРИДН</v>
      </c>
      <c r="AG75" t="str">
        <f ca="1">IFERROR(__xludf.DUMMYFUNCTION("""COMPUTED_VALUE"""),"47600 МЕЛИТОПОЛЬ")</f>
        <v>47600 МЕЛИТОПОЛЬ</v>
      </c>
      <c r="AH75" t="str">
        <f ca="1">IFERROR(__xludf.DUMMYFUNCTION("""COMPUTED_VALUE"""),"08.02.21 15-00")</f>
        <v>08.02.21 15-00</v>
      </c>
      <c r="AI75" s="21">
        <f ca="1">IFERROR(__xludf.DUMMYFUNCTION("""COMPUTED_VALUE"""),44420.357662037)</f>
        <v>44420.357662037</v>
      </c>
    </row>
    <row r="76" spans="1:35" ht="13" x14ac:dyDescent="0.15">
      <c r="A76">
        <f ca="1">IFERROR(__xludf.DUMMYFUNCTION("""COMPUTED_VALUE"""),339)</f>
        <v>339</v>
      </c>
      <c r="B76" t="str">
        <f ca="1">IFERROR(__xludf.DUMMYFUNCTION("""COMPUTED_VALUE"""),"Техрейс")</f>
        <v>Техрейс</v>
      </c>
      <c r="C76" t="str">
        <f ca="1">IFERROR(__xludf.DUMMYFUNCTION("""COMPUTED_VALUE"""),"УТЛ")</f>
        <v>УТЛ</v>
      </c>
      <c r="D76">
        <f ca="1">IFERROR(__xludf.DUMMYFUNCTION("""COMPUTED_VALUE"""),61105987)</f>
        <v>61105987</v>
      </c>
      <c r="E76" t="str">
        <f ca="1">IFERROR(__xludf.DUMMYFUNCTION("""COMPUTED_VALUE"""),"60 ПОЛУВАГОНЫ")</f>
        <v>60 ПОЛУВАГОНЫ</v>
      </c>
      <c r="F76">
        <f ca="1">IFERROR(__xludf.DUMMYFUNCTION("""COMPUTED_VALUE"""),69227)</f>
        <v>69227</v>
      </c>
      <c r="G76" t="str">
        <f ca="1">IFERROR(__xludf.DUMMYFUNCTION("""COMPUTED_VALUE"""),"УТИЛЬ-СЫРЬЕ ПР")</f>
        <v>УТИЛЬ-СЫРЬЕ ПР</v>
      </c>
      <c r="H76">
        <f ca="1">IFERROR(__xludf.DUMMYFUNCTION("""COMPUTED_VALUE"""),67)</f>
        <v>67</v>
      </c>
      <c r="I76">
        <f ca="1">IFERROR(__xludf.DUMMYFUNCTION("""COMPUTED_VALUE"""),2914)</f>
        <v>2914</v>
      </c>
      <c r="J76" t="str">
        <f ca="1">IFERROR(__xludf.DUMMYFUNCTION("""COMPUTED_VALUE"""),"3576 (32090-012-32000) НОВЫЕ БЕЗР - ДАРНИЦА")</f>
        <v>3576 (32090-012-32000) НОВЫЕ БЕЗР - ДАРНИЦА</v>
      </c>
      <c r="K76">
        <f ca="1">IFERROR(__xludf.DUMMYFUNCTION("""COMPUTED_VALUE"""),32090)</f>
        <v>32090</v>
      </c>
      <c r="L76" t="str">
        <f ca="1">IFERROR(__xludf.DUMMYFUNCTION("""COMPUTED_VALUE"""),"НОВЫЕ БЕЗР")</f>
        <v>НОВЫЕ БЕЗР</v>
      </c>
      <c r="M76" t="str">
        <f ca="1">IFERROR(__xludf.DUMMYFUNCTION("""COMPUTED_VALUE"""),"11.08.21 16-34")</f>
        <v>11.08.21 16-34</v>
      </c>
      <c r="N76" t="str">
        <f ca="1">IFERROR(__xludf.DUMMYFUNCTION("""COMPUTED_VALUE"""),"05 ФОРМ")</f>
        <v>05 ФОРМ</v>
      </c>
      <c r="O76">
        <f ca="1">IFERROR(__xludf.DUMMYFUNCTION("""COMPUTED_VALUE"""),44560)</f>
        <v>44560</v>
      </c>
      <c r="P76" t="str">
        <f ca="1">IFERROR(__xludf.DUMMYFUNCTION("""COMPUTED_VALUE"""),"БАСЫ")</f>
        <v>БАСЫ</v>
      </c>
      <c r="Q76">
        <f ca="1">IFERROR(__xludf.DUMMYFUNCTION("""COMPUTED_VALUE"""),32090)</f>
        <v>32090</v>
      </c>
      <c r="R76" t="str">
        <f ca="1">IFERROR(__xludf.DUMMYFUNCTION("""COMPUTED_VALUE"""),"НОВЫЕ БЕЗР")</f>
        <v>НОВЫЕ БЕЗР</v>
      </c>
      <c r="S76" t="str">
        <f ca="1">IFERROR(__xludf.DUMMYFUNCTION("""COMPUTED_VALUE"""),"10.08.21 02-00")</f>
        <v>10.08.21 02-00</v>
      </c>
      <c r="T76">
        <f ca="1">IFERROR(__xludf.DUMMYFUNCTION("""COMPUTED_VALUE"""),2123)</f>
        <v>2123</v>
      </c>
      <c r="U76" t="str">
        <f ca="1">IFERROR(__xludf.DUMMYFUNCTION("""COMPUTED_VALUE"""),"23.01.2022 ДР")</f>
        <v>23.01.2022 ДР</v>
      </c>
      <c r="Z76" t="str">
        <f ca="1">IFERROR(__xludf.DUMMYFUNCTION("""COMPUTED_VALUE"""),"ООО «ОТП ЛИЗИНГ»")</f>
        <v>ООО «ОТП ЛИЗИНГ»</v>
      </c>
      <c r="AA76" t="str">
        <f ca="1">IFERROR(__xludf.DUMMYFUNCTION("""COMPUTED_VALUE"""),"12-9745")</f>
        <v>12-9745</v>
      </c>
      <c r="AB76" t="str">
        <f ca="1">IFERROR(__xludf.DUMMYFUNCTION("""COMPUTED_VALUE"""),"32 Ю-ЗАП")</f>
        <v>32 Ю-ЗАП</v>
      </c>
      <c r="AC76" t="str">
        <f ca="1">IFERROR(__xludf.DUMMYFUNCTION("""COMPUTED_VALUE"""),"32000 ДАРНИЦА")</f>
        <v>32000 ДАРНИЦА</v>
      </c>
      <c r="AD76" t="str">
        <f ca="1">IFERROR(__xludf.DUMMYFUNCTION("""COMPUTED_VALUE"""),"23.07.21 11-55")</f>
        <v>23.07.21 11-55</v>
      </c>
      <c r="AE76" t="str">
        <f ca="1">IFERROR(__xludf.DUMMYFUNCTION("""COMPUTED_VALUE"""),"100")</f>
        <v>100</v>
      </c>
      <c r="AF76" t="str">
        <f ca="1">IFERROR(__xludf.DUMMYFUNCTION("""COMPUTED_VALUE"""),"32 Ю-ЗАП")</f>
        <v>32 Ю-ЗАП</v>
      </c>
      <c r="AG76" t="str">
        <f ca="1">IFERROR(__xludf.DUMMYFUNCTION("""COMPUTED_VALUE"""),"32000 ДАРНИЦА")</f>
        <v>32000 ДАРНИЦА</v>
      </c>
      <c r="AH76" t="str">
        <f ca="1">IFERROR(__xludf.DUMMYFUNCTION("""COMPUTED_VALUE"""),"29.07.21 14-55")</f>
        <v>29.07.21 14-55</v>
      </c>
      <c r="AI76" s="21">
        <f ca="1">IFERROR(__xludf.DUMMYFUNCTION("""COMPUTED_VALUE"""),44420.357662037)</f>
        <v>44420.357662037</v>
      </c>
    </row>
    <row r="77" spans="1:35" ht="13" x14ac:dyDescent="0.15">
      <c r="A77">
        <f ca="1">IFERROR(__xludf.DUMMYFUNCTION("""COMPUTED_VALUE"""),340)</f>
        <v>340</v>
      </c>
      <c r="B77" t="str">
        <f ca="1">IFERROR(__xludf.DUMMYFUNCTION("""COMPUTED_VALUE"""),"Техрейс")</f>
        <v>Техрейс</v>
      </c>
      <c r="C77" t="str">
        <f ca="1">IFERROR(__xludf.DUMMYFUNCTION("""COMPUTED_VALUE"""),"УТЛ")</f>
        <v>УТЛ</v>
      </c>
      <c r="D77">
        <f ca="1">IFERROR(__xludf.DUMMYFUNCTION("""COMPUTED_VALUE"""),61107306)</f>
        <v>61107306</v>
      </c>
      <c r="E77" t="str">
        <f ca="1">IFERROR(__xludf.DUMMYFUNCTION("""COMPUTED_VALUE"""),"60 ПОЛУВАГОНЫ")</f>
        <v>60 ПОЛУВАГОНЫ</v>
      </c>
      <c r="F77">
        <f ca="1">IFERROR(__xludf.DUMMYFUNCTION("""COMPUTED_VALUE"""),42103)</f>
        <v>42103</v>
      </c>
      <c r="G77" t="str">
        <f ca="1">IFERROR(__xludf.DUMMYFUNCTION("""COMPUTED_VALUE"""),"ВАГОНЫ ЖД СВ")</f>
        <v>ВАГОНЫ ЖД СВ</v>
      </c>
      <c r="H77">
        <f ca="1">IFERROR(__xludf.DUMMYFUNCTION("""COMPUTED_VALUE"""),0)</f>
        <v>0</v>
      </c>
      <c r="I77">
        <f ca="1">IFERROR(__xludf.DUMMYFUNCTION("""COMPUTED_VALUE"""),5343)</f>
        <v>5343</v>
      </c>
      <c r="J77" t="str">
        <f ca="1">IFERROR(__xludf.DUMMYFUNCTION("""COMPUTED_VALUE"""),"3501 (46720-470-40060) КРИВОЙ РОГ - БЕРЕГОВАЯ-Э")</f>
        <v>3501 (46720-470-40060) КРИВОЙ РОГ - БЕРЕГОВАЯ-Э</v>
      </c>
      <c r="K77">
        <f ca="1">IFERROR(__xludf.DUMMYFUNCTION("""COMPUTED_VALUE"""),46720)</f>
        <v>46720</v>
      </c>
      <c r="L77" t="str">
        <f ca="1">IFERROR(__xludf.DUMMYFUNCTION("""COMPUTED_VALUE"""),"КРИВОЙ РОГ")</f>
        <v>КРИВОЙ РОГ</v>
      </c>
      <c r="M77" t="str">
        <f ca="1">IFERROR(__xludf.DUMMYFUNCTION("""COMPUTED_VALUE"""),"12.08.21 03-45")</f>
        <v>12.08.21 03-45</v>
      </c>
      <c r="N77" t="str">
        <f ca="1">IFERROR(__xludf.DUMMYFUNCTION("""COMPUTED_VALUE"""),"98 ОТОТ")</f>
        <v>98 ОТОТ</v>
      </c>
      <c r="O77">
        <f ca="1">IFERROR(__xludf.DUMMYFUNCTION("""COMPUTED_VALUE"""),46720)</f>
        <v>46720</v>
      </c>
      <c r="P77" t="str">
        <f ca="1">IFERROR(__xludf.DUMMYFUNCTION("""COMPUTED_VALUE"""),"КРИВОЙ РОГ")</f>
        <v>КРИВОЙ РОГ</v>
      </c>
      <c r="Q77">
        <f ca="1">IFERROR(__xludf.DUMMYFUNCTION("""COMPUTED_VALUE"""),40050)</f>
        <v>40050</v>
      </c>
      <c r="R77" t="str">
        <f ca="1">IFERROR(__xludf.DUMMYFUNCTION("""COMPUTED_VALUE"""),"БЕРЕГОВАЯ")</f>
        <v>БЕРЕГОВАЯ</v>
      </c>
      <c r="S77" t="str">
        <f ca="1">IFERROR(__xludf.DUMMYFUNCTION("""COMPUTED_VALUE"""),"10.08.21 22-42")</f>
        <v>10.08.21 22-42</v>
      </c>
      <c r="T77">
        <f ca="1">IFERROR(__xludf.DUMMYFUNCTION("""COMPUTED_VALUE"""),8200)</f>
        <v>8200</v>
      </c>
      <c r="U77" t="str">
        <f ca="1">IFERROR(__xludf.DUMMYFUNCTION("""COMPUTED_VALUE"""),"24.12.2021 ДР")</f>
        <v>24.12.2021 ДР</v>
      </c>
      <c r="Z77" t="str">
        <f ca="1">IFERROR(__xludf.DUMMYFUNCTION("""COMPUTED_VALUE"""),"ООО «ОТП ЛИЗИНГ»")</f>
        <v>ООО «ОТП ЛИЗИНГ»</v>
      </c>
      <c r="AA77" t="str">
        <f ca="1">IFERROR(__xludf.DUMMYFUNCTION("""COMPUTED_VALUE"""),"12-9745")</f>
        <v>12-9745</v>
      </c>
      <c r="AB77" t="str">
        <f ca="1">IFERROR(__xludf.DUMMYFUNCTION("""COMPUTED_VALUE"""),"32 Ю-ЗАП")</f>
        <v>32 Ю-ЗАП</v>
      </c>
      <c r="AC77" t="str">
        <f ca="1">IFERROR(__xludf.DUMMYFUNCTION("""COMPUTED_VALUE"""),"33000 ЖМЕРИНКА")</f>
        <v>33000 ЖМЕРИНКА</v>
      </c>
      <c r="AD77" t="str">
        <f ca="1">IFERROR(__xludf.DUMMYFUNCTION("""COMPUTED_VALUE"""),"21.12.20 15-21")</f>
        <v>21.12.20 15-21</v>
      </c>
      <c r="AE77" t="str">
        <f ca="1">IFERROR(__xludf.DUMMYFUNCTION("""COMPUTED_VALUE"""),"570 ИCТEК КAЛЕНДАРНЫЙ CPOК ДEПOВCКОГО PEМOНТA")</f>
        <v>570 ИCТEК КAЛЕНДАРНЫЙ CPOК ДEПOВCКОГО PEМOНТA</v>
      </c>
      <c r="AF77" t="str">
        <f ca="1">IFERROR(__xludf.DUMMYFUNCTION("""COMPUTED_VALUE"""),"32 Ю-ЗАП")</f>
        <v>32 Ю-ЗАП</v>
      </c>
      <c r="AG77" t="str">
        <f ca="1">IFERROR(__xludf.DUMMYFUNCTION("""COMPUTED_VALUE"""),"33000 ЖМЕРИНКА")</f>
        <v>33000 ЖМЕРИНКА</v>
      </c>
      <c r="AH77" t="str">
        <f ca="1">IFERROR(__xludf.DUMMYFUNCTION("""COMPUTED_VALUE"""),"24.12.20 14-32")</f>
        <v>24.12.20 14-32</v>
      </c>
      <c r="AI77" s="21">
        <f ca="1">IFERROR(__xludf.DUMMYFUNCTION("""COMPUTED_VALUE"""),44420.357662037)</f>
        <v>44420.357662037</v>
      </c>
    </row>
    <row r="78" spans="1:35" ht="13" x14ac:dyDescent="0.15">
      <c r="A78">
        <f ca="1">IFERROR(__xludf.DUMMYFUNCTION("""COMPUTED_VALUE"""),341)</f>
        <v>341</v>
      </c>
      <c r="B78" t="str">
        <f ca="1">IFERROR(__xludf.DUMMYFUNCTION("""COMPUTED_VALUE"""),"Техрейс")</f>
        <v>Техрейс</v>
      </c>
      <c r="C78" t="str">
        <f ca="1">IFERROR(__xludf.DUMMYFUNCTION("""COMPUTED_VALUE"""),"УТЛ")</f>
        <v>УТЛ</v>
      </c>
      <c r="D78">
        <f ca="1">IFERROR(__xludf.DUMMYFUNCTION("""COMPUTED_VALUE"""),61107959)</f>
        <v>61107959</v>
      </c>
      <c r="E78" t="str">
        <f ca="1">IFERROR(__xludf.DUMMYFUNCTION("""COMPUTED_VALUE"""),"60 ПОЛУВАГОНЫ")</f>
        <v>60 ПОЛУВАГОНЫ</v>
      </c>
      <c r="F78">
        <f ca="1">IFERROR(__xludf.DUMMYFUNCTION("""COMPUTED_VALUE"""),42103)</f>
        <v>42103</v>
      </c>
      <c r="G78" t="str">
        <f ca="1">IFERROR(__xludf.DUMMYFUNCTION("""COMPUTED_VALUE"""),"ВАГОНЫ ЖД СВ")</f>
        <v>ВАГОНЫ ЖД СВ</v>
      </c>
      <c r="H78">
        <f ca="1">IFERROR(__xludf.DUMMYFUNCTION("""COMPUTED_VALUE"""),0)</f>
        <v>0</v>
      </c>
      <c r="I78">
        <f ca="1">IFERROR(__xludf.DUMMYFUNCTION("""COMPUTED_VALUE"""),4305)</f>
        <v>4305</v>
      </c>
      <c r="J78" t="str">
        <f ca="1">IFERROR(__xludf.DUMMYFUNCTION("""COMPUTED_VALUE"""),"4840 (44140-013-44150) КАРЛОВКА - ЛАННАЯ")</f>
        <v>4840 (44140-013-44150) КАРЛОВКА - ЛАННАЯ</v>
      </c>
      <c r="K78">
        <f ca="1">IFERROR(__xludf.DUMMYFUNCTION("""COMPUTED_VALUE"""),44150)</f>
        <v>44150</v>
      </c>
      <c r="L78" t="str">
        <f ca="1">IFERROR(__xludf.DUMMYFUNCTION("""COMPUTED_VALUE"""),"ЛАННАЯ")</f>
        <v>ЛАННАЯ</v>
      </c>
      <c r="M78" t="str">
        <f ca="1">IFERROR(__xludf.DUMMYFUNCTION("""COMPUTED_VALUE"""),"11.08.21 18-00")</f>
        <v>11.08.21 18-00</v>
      </c>
      <c r="N78" t="str">
        <f ca="1">IFERROR(__xludf.DUMMYFUNCTION("""COMPUTED_VALUE"""),"91 ПРДР")</f>
        <v>91 ПРДР</v>
      </c>
      <c r="O78">
        <f ca="1">IFERROR(__xludf.DUMMYFUNCTION("""COMPUTED_VALUE"""),42500)</f>
        <v>42500</v>
      </c>
      <c r="P78" t="str">
        <f ca="1">IFERROR(__xludf.DUMMYFUNCTION("""COMPUTED_VALUE"""),"КРЕМЕНЧУГ")</f>
        <v>КРЕМЕНЧУГ</v>
      </c>
      <c r="Q78">
        <f ca="1">IFERROR(__xludf.DUMMYFUNCTION("""COMPUTED_VALUE"""),44150)</f>
        <v>44150</v>
      </c>
      <c r="R78" t="str">
        <f ca="1">IFERROR(__xludf.DUMMYFUNCTION("""COMPUTED_VALUE"""),"ЛАННАЯ")</f>
        <v>ЛАННАЯ</v>
      </c>
      <c r="S78" t="str">
        <f ca="1">IFERROR(__xludf.DUMMYFUNCTION("""COMPUTED_VALUE"""),"11.08.21 18-00")</f>
        <v>11.08.21 18-00</v>
      </c>
      <c r="T78">
        <f ca="1">IFERROR(__xludf.DUMMYFUNCTION("""COMPUTED_VALUE"""),8200)</f>
        <v>8200</v>
      </c>
      <c r="U78" t="str">
        <f ca="1">IFERROR(__xludf.DUMMYFUNCTION("""COMPUTED_VALUE"""),"05.03.2022 ДР")</f>
        <v>05.03.2022 ДР</v>
      </c>
      <c r="Z78" t="str">
        <f ca="1">IFERROR(__xludf.DUMMYFUNCTION("""COMPUTED_VALUE"""),"ООО «ОТП ЛИЗИНГ»")</f>
        <v>ООО «ОТП ЛИЗИНГ»</v>
      </c>
      <c r="AA78" t="str">
        <f ca="1">IFERROR(__xludf.DUMMYFUNCTION("""COMPUTED_VALUE"""),"12-9745")</f>
        <v>12-9745</v>
      </c>
      <c r="AB78" t="str">
        <f ca="1">IFERROR(__xludf.DUMMYFUNCTION("""COMPUTED_VALUE"""),"45 ПРИДН")</f>
        <v>45 ПРИДН</v>
      </c>
      <c r="AC78" t="str">
        <f ca="1">IFERROR(__xludf.DUMMYFUNCTION("""COMPUTED_VALUE"""),"46710 КРИВ.РОГ-СОР")</f>
        <v>46710 КРИВ.РОГ-СОР</v>
      </c>
      <c r="AD78" t="str">
        <f ca="1">IFERROR(__xludf.DUMMYFUNCTION("""COMPUTED_VALUE"""),"09.02.21 13-15")</f>
        <v>09.02.21 13-15</v>
      </c>
      <c r="AE78" t="str">
        <f ca="1">IFERROR(__xludf.DUMMYFUNCTION("""COMPUTED_VALUE"""),"570 ИCТEК КAЛЕНДАРНЫЙ CPOК ДEПOВCКОГО PEМOНТA")</f>
        <v>570 ИCТEК КAЛЕНДАРНЫЙ CPOК ДEПOВCКОГО PEМOНТA</v>
      </c>
      <c r="AF78" t="str">
        <f ca="1">IFERROR(__xludf.DUMMYFUNCTION("""COMPUTED_VALUE"""),"45 ПРИДН")</f>
        <v>45 ПРИДН</v>
      </c>
      <c r="AG78" t="str">
        <f ca="1">IFERROR(__xludf.DUMMYFUNCTION("""COMPUTED_VALUE"""),"46710 КРИВ.РОГ-СОР")</f>
        <v>46710 КРИВ.РОГ-СОР</v>
      </c>
      <c r="AH78" t="str">
        <f ca="1">IFERROR(__xludf.DUMMYFUNCTION("""COMPUTED_VALUE"""),"05.03.21 15-09")</f>
        <v>05.03.21 15-09</v>
      </c>
      <c r="AI78" s="21">
        <f ca="1">IFERROR(__xludf.DUMMYFUNCTION("""COMPUTED_VALUE"""),44420.357662037)</f>
        <v>44420.357662037</v>
      </c>
    </row>
    <row r="79" spans="1:35" ht="13" x14ac:dyDescent="0.15">
      <c r="A79">
        <f ca="1">IFERROR(__xludf.DUMMYFUNCTION("""COMPUTED_VALUE"""),344)</f>
        <v>344</v>
      </c>
      <c r="B79" t="str">
        <f ca="1">IFERROR(__xludf.DUMMYFUNCTION("""COMPUTED_VALUE"""),"Енко Ентерпрайз")</f>
        <v>Енко Ентерпрайз</v>
      </c>
      <c r="C79" t="str">
        <f ca="1">IFERROR(__xludf.DUMMYFUNCTION("""COMPUTED_VALUE"""),"ФМС груп")</f>
        <v>ФМС груп</v>
      </c>
      <c r="D79">
        <f ca="1">IFERROR(__xludf.DUMMYFUNCTION("""COMPUTED_VALUE"""),63037006)</f>
        <v>63037006</v>
      </c>
      <c r="E79" t="str">
        <f ca="1">IFERROR(__xludf.DUMMYFUNCTION("""COMPUTED_VALUE"""),"60 ПОЛУВАГОНЫ")</f>
        <v>60 ПОЛУВАГОНЫ</v>
      </c>
      <c r="F79">
        <f ca="1">IFERROR(__xludf.DUMMYFUNCTION("""COMPUTED_VALUE"""),23107)</f>
        <v>23107</v>
      </c>
      <c r="G79" t="str">
        <f ca="1">IFERROR(__xludf.DUMMYFUNCTION("""COMPUTED_VALUE"""),"ПЕСОК СТРОИТ")</f>
        <v>ПЕСОК СТРОИТ</v>
      </c>
      <c r="H79">
        <f ca="1">IFERROR(__xludf.DUMMYFUNCTION("""COMPUTED_VALUE"""),70)</f>
        <v>70</v>
      </c>
      <c r="I79">
        <f ca="1">IFERROR(__xludf.DUMMYFUNCTION("""COMPUTED_VALUE"""),1879)</f>
        <v>1879</v>
      </c>
      <c r="J79" t="str">
        <f ca="1">IFERROR(__xludf.DUMMYFUNCTION("""COMPUTED_VALUE"""),"2728 (40080-322-41300) ОДЕССА-ПЕРЕС - ВОЗНЕСЕНСК")</f>
        <v>2728 (40080-322-41300) ОДЕССА-ПЕРЕС - ВОЗНЕСЕНСК</v>
      </c>
      <c r="K79">
        <f ca="1">IFERROR(__xludf.DUMMYFUNCTION("""COMPUTED_VALUE"""),41300)</f>
        <v>41300</v>
      </c>
      <c r="L79" t="str">
        <f ca="1">IFERROR(__xludf.DUMMYFUNCTION("""COMPUTED_VALUE"""),"ВОЗНЕСЕНСК")</f>
        <v>ВОЗНЕСЕНСК</v>
      </c>
      <c r="M79" t="str">
        <f ca="1">IFERROR(__xludf.DUMMYFUNCTION("""COMPUTED_VALUE"""),"11.08.21 15-25")</f>
        <v>11.08.21 15-25</v>
      </c>
      <c r="N79" t="str">
        <f ca="1">IFERROR(__xludf.DUMMYFUNCTION("""COMPUTED_VALUE"""),"91 ПРДР")</f>
        <v>91 ПРДР</v>
      </c>
      <c r="O79">
        <f ca="1">IFERROR(__xludf.DUMMYFUNCTION("""COMPUTED_VALUE"""),40510)</f>
        <v>40510</v>
      </c>
      <c r="P79" t="str">
        <f ca="1">IFERROR(__xludf.DUMMYFUNCTION("""COMPUTED_VALUE"""),"ОДЕССА-ЗАС I")</f>
        <v>ОДЕССА-ЗАС I</v>
      </c>
      <c r="Q79">
        <f ca="1">IFERROR(__xludf.DUMMYFUNCTION("""COMPUTED_VALUE"""),41300)</f>
        <v>41300</v>
      </c>
      <c r="R79" t="str">
        <f ca="1">IFERROR(__xludf.DUMMYFUNCTION("""COMPUTED_VALUE"""),"ВОЗНЕСЕНСК")</f>
        <v>ВОЗНЕСЕНСК</v>
      </c>
      <c r="S79" t="str">
        <f ca="1">IFERROR(__xludf.DUMMYFUNCTION("""COMPUTED_VALUE"""),"11.08.21 15-25")</f>
        <v>11.08.21 15-25</v>
      </c>
      <c r="T79">
        <f ca="1">IFERROR(__xludf.DUMMYFUNCTION("""COMPUTED_VALUE"""),7307)</f>
        <v>7307</v>
      </c>
      <c r="U79" t="str">
        <f ca="1">IFERROR(__xludf.DUMMYFUNCTION("""COMPUTED_VALUE"""),"31.10.2021 ДР")</f>
        <v>31.10.2021 ДР</v>
      </c>
      <c r="Z79" t="str">
        <f ca="1">IFERROR(__xludf.DUMMYFUNCTION("""COMPUTED_VALUE"""),"ООО ""Ф.М.С. групп""")</f>
        <v>ООО "Ф.М.С. групп"</v>
      </c>
      <c r="AA79" t="str">
        <f ca="1">IFERROR(__xludf.DUMMYFUNCTION("""COMPUTED_VALUE"""),"12-783")</f>
        <v>12-783</v>
      </c>
      <c r="AI79" s="21">
        <f ca="1">IFERROR(__xludf.DUMMYFUNCTION("""COMPUTED_VALUE"""),44420.357662037)</f>
        <v>44420.357662037</v>
      </c>
    </row>
    <row r="80" spans="1:35" ht="13" x14ac:dyDescent="0.15">
      <c r="A80">
        <f ca="1">IFERROR(__xludf.DUMMYFUNCTION("""COMPUTED_VALUE"""),345)</f>
        <v>345</v>
      </c>
      <c r="B80" t="str">
        <f ca="1">IFERROR(__xludf.DUMMYFUNCTION("""COMPUTED_VALUE"""),"Енко Ентерпрайз")</f>
        <v>Енко Ентерпрайз</v>
      </c>
      <c r="C80" t="str">
        <f ca="1">IFERROR(__xludf.DUMMYFUNCTION("""COMPUTED_VALUE"""),"ФМС груп")</f>
        <v>ФМС груп</v>
      </c>
      <c r="D80">
        <f ca="1">IFERROR(__xludf.DUMMYFUNCTION("""COMPUTED_VALUE"""),63039184)</f>
        <v>63039184</v>
      </c>
      <c r="E80" t="str">
        <f ca="1">IFERROR(__xludf.DUMMYFUNCTION("""COMPUTED_VALUE"""),"60 ПОЛУВАГОНЫ")</f>
        <v>60 ПОЛУВАГОНЫ</v>
      </c>
      <c r="F80">
        <f ca="1">IFERROR(__xludf.DUMMYFUNCTION("""COMPUTED_VALUE"""),42103)</f>
        <v>42103</v>
      </c>
      <c r="G80" t="str">
        <f ca="1">IFERROR(__xludf.DUMMYFUNCTION("""COMPUTED_VALUE"""),"ВАГОНЫ ЖД СВ")</f>
        <v>ВАГОНЫ ЖД СВ</v>
      </c>
      <c r="H80">
        <f ca="1">IFERROR(__xludf.DUMMYFUNCTION("""COMPUTED_VALUE"""),0)</f>
        <v>0</v>
      </c>
      <c r="I80">
        <f ca="1">IFERROR(__xludf.DUMMYFUNCTION("""COMPUTED_VALUE"""),5986)</f>
        <v>5986</v>
      </c>
      <c r="J80" t="str">
        <f ca="1">IFERROR(__xludf.DUMMYFUNCTION("""COMPUTED_VALUE"""),"3721 (40510-314-40020) ОДЕССА-ЗАС I - ОДЕС-ТОВАРН")</f>
        <v>3721 (40510-314-40020) ОДЕССА-ЗАС I - ОДЕС-ТОВАРН</v>
      </c>
      <c r="K80">
        <f ca="1">IFERROR(__xludf.DUMMYFUNCTION("""COMPUTED_VALUE"""),40130)</f>
        <v>40130</v>
      </c>
      <c r="L80" t="str">
        <f ca="1">IFERROR(__xludf.DUMMYFUNCTION("""COMPUTED_VALUE"""),"ОДЕС-ЗАС II")</f>
        <v>ОДЕС-ЗАС II</v>
      </c>
      <c r="M80" t="str">
        <f ca="1">IFERROR(__xludf.DUMMYFUNCTION("""COMPUTED_VALUE"""),"11.08.21 14-50")</f>
        <v>11.08.21 14-50</v>
      </c>
      <c r="N80" t="str">
        <f ca="1">IFERROR(__xludf.DUMMYFUNCTION("""COMPUTED_VALUE"""),"86 ОДПВ")</f>
        <v>86 ОДПВ</v>
      </c>
      <c r="O80">
        <f ca="1">IFERROR(__xludf.DUMMYFUNCTION("""COMPUTED_VALUE"""),41190)</f>
        <v>41190</v>
      </c>
      <c r="P80" t="str">
        <f ca="1">IFERROR(__xludf.DUMMYFUNCTION("""COMPUTED_VALUE"""),"ПОМОШНАЯ")</f>
        <v>ПОМОШНАЯ</v>
      </c>
      <c r="Q80">
        <f ca="1">IFERROR(__xludf.DUMMYFUNCTION("""COMPUTED_VALUE"""),40130)</f>
        <v>40130</v>
      </c>
      <c r="R80" t="str">
        <f ca="1">IFERROR(__xludf.DUMMYFUNCTION("""COMPUTED_VALUE"""),"ОДЕС-ЗАС II")</f>
        <v>ОДЕС-ЗАС II</v>
      </c>
      <c r="S80" t="str">
        <f ca="1">IFERROR(__xludf.DUMMYFUNCTION("""COMPUTED_VALUE"""),"11.08.21 14-50")</f>
        <v>11.08.21 14-50</v>
      </c>
      <c r="T80">
        <f ca="1">IFERROR(__xludf.DUMMYFUNCTION("""COMPUTED_VALUE"""),1879)</f>
        <v>1879</v>
      </c>
      <c r="U80" t="str">
        <f ca="1">IFERROR(__xludf.DUMMYFUNCTION("""COMPUTED_VALUE"""),"31.10.2021 ДР")</f>
        <v>31.10.2021 ДР</v>
      </c>
      <c r="Z80" t="str">
        <f ca="1">IFERROR(__xludf.DUMMYFUNCTION("""COMPUTED_VALUE"""),"ООО ""Ф.М.С. групп""")</f>
        <v>ООО "Ф.М.С. групп"</v>
      </c>
      <c r="AA80" t="str">
        <f ca="1">IFERROR(__xludf.DUMMYFUNCTION("""COMPUTED_VALUE"""),"12-783")</f>
        <v>12-783</v>
      </c>
      <c r="AI80" s="21">
        <f ca="1">IFERROR(__xludf.DUMMYFUNCTION("""COMPUTED_VALUE"""),44420.357662037)</f>
        <v>44420.357662037</v>
      </c>
    </row>
    <row r="81" spans="1:35" ht="13" x14ac:dyDescent="0.15">
      <c r="A81">
        <f ca="1">IFERROR(__xludf.DUMMYFUNCTION("""COMPUTED_VALUE"""),346)</f>
        <v>346</v>
      </c>
      <c r="B81" t="str">
        <f ca="1">IFERROR(__xludf.DUMMYFUNCTION("""COMPUTED_VALUE"""),"Енко Ентерпрайз")</f>
        <v>Енко Ентерпрайз</v>
      </c>
      <c r="C81" t="str">
        <f ca="1">IFERROR(__xludf.DUMMYFUNCTION("""COMPUTED_VALUE"""),"ФМС груп")</f>
        <v>ФМС груп</v>
      </c>
      <c r="D81">
        <f ca="1">IFERROR(__xludf.DUMMYFUNCTION("""COMPUTED_VALUE"""),63040182)</f>
        <v>63040182</v>
      </c>
      <c r="E81" t="str">
        <f ca="1">IFERROR(__xludf.DUMMYFUNCTION("""COMPUTED_VALUE"""),"60 ПОЛУВАГОНЫ")</f>
        <v>60 ПОЛУВАГОНЫ</v>
      </c>
      <c r="F81">
        <f ca="1">IFERROR(__xludf.DUMMYFUNCTION("""COMPUTED_VALUE"""),42103)</f>
        <v>42103</v>
      </c>
      <c r="G81" t="str">
        <f ca="1">IFERROR(__xludf.DUMMYFUNCTION("""COMPUTED_VALUE"""),"ВАГОНЫ ЖД СВ")</f>
        <v>ВАГОНЫ ЖД СВ</v>
      </c>
      <c r="H81">
        <f ca="1">IFERROR(__xludf.DUMMYFUNCTION("""COMPUTED_VALUE"""),0)</f>
        <v>0</v>
      </c>
      <c r="I81">
        <f ca="1">IFERROR(__xludf.DUMMYFUNCTION("""COMPUTED_VALUE"""),6182)</f>
        <v>6182</v>
      </c>
      <c r="J81" t="str">
        <f ca="1">IFERROR(__xludf.DUMMYFUNCTION("""COMPUTED_VALUE"""),"2728 (40080-322-41300) ОДЕССА-ПЕРЕС - ВОЗНЕСЕНСК")</f>
        <v>2728 (40080-322-41300) ОДЕССА-ПЕРЕС - ВОЗНЕСЕНСК</v>
      </c>
      <c r="K81">
        <f ca="1">IFERROR(__xludf.DUMMYFUNCTION("""COMPUTED_VALUE"""),41300)</f>
        <v>41300</v>
      </c>
      <c r="L81" t="str">
        <f ca="1">IFERROR(__xludf.DUMMYFUNCTION("""COMPUTED_VALUE"""),"ВОЗНЕСЕНСК")</f>
        <v>ВОЗНЕСЕНСК</v>
      </c>
      <c r="M81" t="str">
        <f ca="1">IFERROR(__xludf.DUMMYFUNCTION("""COMPUTED_VALUE"""),"11.08.21 10-51")</f>
        <v>11.08.21 10-51</v>
      </c>
      <c r="N81" t="str">
        <f ca="1">IFERROR(__xludf.DUMMYFUNCTION("""COMPUTED_VALUE"""),"04 РАСФ")</f>
        <v>04 РАСФ</v>
      </c>
      <c r="O81">
        <f ca="1">IFERROR(__xludf.DUMMYFUNCTION("""COMPUTED_VALUE"""),41310)</f>
        <v>41310</v>
      </c>
      <c r="P81" t="str">
        <f ca="1">IFERROR(__xludf.DUMMYFUNCTION("""COMPUTED_VALUE"""),"АЛЕКСАНДР")</f>
        <v>АЛЕКСАНДР</v>
      </c>
      <c r="Q81">
        <f ca="1">IFERROR(__xludf.DUMMYFUNCTION("""COMPUTED_VALUE"""),40510)</f>
        <v>40510</v>
      </c>
      <c r="R81" t="str">
        <f ca="1">IFERROR(__xludf.DUMMYFUNCTION("""COMPUTED_VALUE"""),"ОДЕССА-ЗАС I")</f>
        <v>ОДЕССА-ЗАС I</v>
      </c>
      <c r="S81" t="str">
        <f ca="1">IFERROR(__xludf.DUMMYFUNCTION("""COMPUTED_VALUE"""),"10.08.21 17-30")</f>
        <v>10.08.21 17-30</v>
      </c>
      <c r="T81">
        <f ca="1">IFERROR(__xludf.DUMMYFUNCTION("""COMPUTED_VALUE"""),1879)</f>
        <v>1879</v>
      </c>
      <c r="U81" t="str">
        <f ca="1">IFERROR(__xludf.DUMMYFUNCTION("""COMPUTED_VALUE"""),"31.10.2021 ДР")</f>
        <v>31.10.2021 ДР</v>
      </c>
      <c r="Z81" t="str">
        <f ca="1">IFERROR(__xludf.DUMMYFUNCTION("""COMPUTED_VALUE"""),"ООО ""Ф.М.С. групп""")</f>
        <v>ООО "Ф.М.С. групп"</v>
      </c>
      <c r="AA81" t="str">
        <f ca="1">IFERROR(__xludf.DUMMYFUNCTION("""COMPUTED_VALUE"""),"12-783")</f>
        <v>12-783</v>
      </c>
      <c r="AI81" s="21">
        <f ca="1">IFERROR(__xludf.DUMMYFUNCTION("""COMPUTED_VALUE"""),44420.357662037)</f>
        <v>44420.357662037</v>
      </c>
    </row>
    <row r="82" spans="1:35" ht="13" x14ac:dyDescent="0.15">
      <c r="A82">
        <f ca="1">IFERROR(__xludf.DUMMYFUNCTION("""COMPUTED_VALUE"""),347)</f>
        <v>347</v>
      </c>
      <c r="B82" t="str">
        <f ca="1">IFERROR(__xludf.DUMMYFUNCTION("""COMPUTED_VALUE"""),"Техрейс")</f>
        <v>Техрейс</v>
      </c>
      <c r="C82" t="str">
        <f ca="1">IFERROR(__xludf.DUMMYFUNCTION("""COMPUTED_VALUE"""),"ФМС груп")</f>
        <v>ФМС груп</v>
      </c>
      <c r="D82">
        <f ca="1">IFERROR(__xludf.DUMMYFUNCTION("""COMPUTED_VALUE"""),63044556)</f>
        <v>63044556</v>
      </c>
      <c r="E82" t="str">
        <f ca="1">IFERROR(__xludf.DUMMYFUNCTION("""COMPUTED_VALUE"""),"60 ПОЛУВАГОНЫ")</f>
        <v>60 ПОЛУВАГОНЫ</v>
      </c>
      <c r="F82">
        <f ca="1">IFERROR(__xludf.DUMMYFUNCTION("""COMPUTED_VALUE"""),42103)</f>
        <v>42103</v>
      </c>
      <c r="G82" t="str">
        <f ca="1">IFERROR(__xludf.DUMMYFUNCTION("""COMPUTED_VALUE"""),"ВАГОНЫ ЖД СВ")</f>
        <v>ВАГОНЫ ЖД СВ</v>
      </c>
      <c r="H82">
        <f ca="1">IFERROR(__xludf.DUMMYFUNCTION("""COMPUTED_VALUE"""),0)</f>
        <v>0</v>
      </c>
      <c r="I82">
        <f ca="1">IFERROR(__xludf.DUMMYFUNCTION("""COMPUTED_VALUE"""),2123)</f>
        <v>2123</v>
      </c>
      <c r="J82" t="str">
        <f ca="1">IFERROR(__xludf.DUMMYFUNCTION("""COMPUTED_VALUE"""),"3501 (34440-733-34470) МИРОНОВКА - ТРИПОЛЬЕ-ДН")</f>
        <v>3501 (34440-733-34470) МИРОНОВКА - ТРИПОЛЬЕ-ДН</v>
      </c>
      <c r="K82">
        <f ca="1">IFERROR(__xludf.DUMMYFUNCTION("""COMPUTED_VALUE"""),34440)</f>
        <v>34440</v>
      </c>
      <c r="L82" t="str">
        <f ca="1">IFERROR(__xludf.DUMMYFUNCTION("""COMPUTED_VALUE"""),"МИРОНОВКА")</f>
        <v>МИРОНОВКА</v>
      </c>
      <c r="M82" t="str">
        <f ca="1">IFERROR(__xludf.DUMMYFUNCTION("""COMPUTED_VALUE"""),"11.08.21 06-52")</f>
        <v>11.08.21 06-52</v>
      </c>
      <c r="N82" t="str">
        <f ca="1">IFERROR(__xludf.DUMMYFUNCTION("""COMPUTED_VALUE"""),"05 ФОРМ")</f>
        <v>05 ФОРМ</v>
      </c>
      <c r="O82">
        <f ca="1">IFERROR(__xludf.DUMMYFUNCTION("""COMPUTED_VALUE"""),32090)</f>
        <v>32090</v>
      </c>
      <c r="P82" t="str">
        <f ca="1">IFERROR(__xludf.DUMMYFUNCTION("""COMPUTED_VALUE"""),"НОВЫЕ БЕЗР")</f>
        <v>НОВЫЕ БЕЗР</v>
      </c>
      <c r="Q82">
        <f ca="1">IFERROR(__xludf.DUMMYFUNCTION("""COMPUTED_VALUE"""),42230)</f>
        <v>42230</v>
      </c>
      <c r="R82" t="str">
        <f ca="1">IFERROR(__xludf.DUMMYFUNCTION("""COMPUTED_VALUE"""),"КОРСУНЬ")</f>
        <v>КОРСУНЬ</v>
      </c>
      <c r="S82" t="str">
        <f ca="1">IFERROR(__xludf.DUMMYFUNCTION("""COMPUTED_VALUE"""),"07.08.21 11-40")</f>
        <v>07.08.21 11-40</v>
      </c>
      <c r="T82">
        <f ca="1">IFERROR(__xludf.DUMMYFUNCTION("""COMPUTED_VALUE"""),8200)</f>
        <v>8200</v>
      </c>
      <c r="U82" t="str">
        <f ca="1">IFERROR(__xludf.DUMMYFUNCTION("""COMPUTED_VALUE"""),"02.11.2021 ДР")</f>
        <v>02.11.2021 ДР</v>
      </c>
      <c r="Z82" t="str">
        <f ca="1">IFERROR(__xludf.DUMMYFUNCTION("""COMPUTED_VALUE"""),"ООО ""Ф.М.С. групп""")</f>
        <v>ООО "Ф.М.С. групп"</v>
      </c>
      <c r="AA82" t="str">
        <f ca="1">IFERROR(__xludf.DUMMYFUNCTION("""COMPUTED_VALUE"""),"12-783")</f>
        <v>12-783</v>
      </c>
      <c r="AI82" s="21">
        <f ca="1">IFERROR(__xludf.DUMMYFUNCTION("""COMPUTED_VALUE"""),44420.357662037)</f>
        <v>44420.357662037</v>
      </c>
    </row>
    <row r="83" spans="1:35" ht="13" x14ac:dyDescent="0.15">
      <c r="A83">
        <f ca="1">IFERROR(__xludf.DUMMYFUNCTION("""COMPUTED_VALUE"""),348)</f>
        <v>348</v>
      </c>
      <c r="B83" t="str">
        <f ca="1">IFERROR(__xludf.DUMMYFUNCTION("""COMPUTED_VALUE"""),"Техрейс")</f>
        <v>Техрейс</v>
      </c>
      <c r="C83" t="str">
        <f ca="1">IFERROR(__xludf.DUMMYFUNCTION("""COMPUTED_VALUE"""),"ФМС груп")</f>
        <v>ФМС груп</v>
      </c>
      <c r="D83">
        <f ca="1">IFERROR(__xludf.DUMMYFUNCTION("""COMPUTED_VALUE"""),63049159)</f>
        <v>63049159</v>
      </c>
      <c r="E83" t="str">
        <f ca="1">IFERROR(__xludf.DUMMYFUNCTION("""COMPUTED_VALUE"""),"60 ПОЛУВАГОНЫ")</f>
        <v>60 ПОЛУВАГОНЫ</v>
      </c>
      <c r="F83">
        <f ca="1">IFERROR(__xludf.DUMMYFUNCTION("""COMPUTED_VALUE"""),42103)</f>
        <v>42103</v>
      </c>
      <c r="G83" t="str">
        <f ca="1">IFERROR(__xludf.DUMMYFUNCTION("""COMPUTED_VALUE"""),"ВАГОНЫ ЖД СВ")</f>
        <v>ВАГОНЫ ЖД СВ</v>
      </c>
      <c r="H83">
        <f ca="1">IFERROR(__xludf.DUMMYFUNCTION("""COMPUTED_VALUE"""),0)</f>
        <v>0</v>
      </c>
      <c r="I83">
        <f ca="1">IFERROR(__xludf.DUMMYFUNCTION("""COMPUTED_VALUE"""),4307)</f>
        <v>4307</v>
      </c>
      <c r="J83" t="str">
        <f ca="1">IFERROR(__xludf.DUMMYFUNCTION("""COMPUTED_VALUE"""),"3019 (41270-024-40000) КОЛОСОВКА - ОДЕССА-СОРТ")</f>
        <v>3019 (41270-024-40000) КОЛОСОВКА - ОДЕССА-СОРТ</v>
      </c>
      <c r="K83">
        <f ca="1">IFERROR(__xludf.DUMMYFUNCTION("""COMPUTED_VALUE"""),40000)</f>
        <v>40000</v>
      </c>
      <c r="L83" t="str">
        <f ca="1">IFERROR(__xludf.DUMMYFUNCTION("""COMPUTED_VALUE"""),"ОДЕССА-СОРТ")</f>
        <v>ОДЕССА-СОРТ</v>
      </c>
      <c r="M83" t="str">
        <f ca="1">IFERROR(__xludf.DUMMYFUNCTION("""COMPUTED_VALUE"""),"11.08.21 21-35")</f>
        <v>11.08.21 21-35</v>
      </c>
      <c r="N83" t="str">
        <f ca="1">IFERROR(__xludf.DUMMYFUNCTION("""COMPUTED_VALUE"""),"51 ПРИБ")</f>
        <v>51 ПРИБ</v>
      </c>
      <c r="O83">
        <f ca="1">IFERROR(__xludf.DUMMYFUNCTION("""COMPUTED_VALUE"""),40200)</f>
        <v>40200</v>
      </c>
      <c r="P83" t="str">
        <f ca="1">IFERROR(__xludf.DUMMYFUNCTION("""COMPUTED_VALUE"""),"ЧЕРНОМОРСК-П")</f>
        <v>ЧЕРНОМОРСК-П</v>
      </c>
      <c r="Q83">
        <f ca="1">IFERROR(__xludf.DUMMYFUNCTION("""COMPUTED_VALUE"""),40050)</f>
        <v>40050</v>
      </c>
      <c r="R83" t="str">
        <f ca="1">IFERROR(__xludf.DUMMYFUNCTION("""COMPUTED_VALUE"""),"БЕРЕГОВАЯ")</f>
        <v>БЕРЕГОВАЯ</v>
      </c>
      <c r="S83" t="str">
        <f ca="1">IFERROR(__xludf.DUMMYFUNCTION("""COMPUTED_VALUE"""),"07.08.21 21-50")</f>
        <v>07.08.21 21-50</v>
      </c>
      <c r="T83">
        <f ca="1">IFERROR(__xludf.DUMMYFUNCTION("""COMPUTED_VALUE"""),8200)</f>
        <v>8200</v>
      </c>
      <c r="U83" t="str">
        <f ca="1">IFERROR(__xludf.DUMMYFUNCTION("""COMPUTED_VALUE"""),"02.11.2021 ДР")</f>
        <v>02.11.2021 ДР</v>
      </c>
      <c r="Z83" t="str">
        <f ca="1">IFERROR(__xludf.DUMMYFUNCTION("""COMPUTED_VALUE"""),"ООО ""Ф.М.С. групп""")</f>
        <v>ООО "Ф.М.С. групп"</v>
      </c>
      <c r="AA83" t="str">
        <f ca="1">IFERROR(__xludf.DUMMYFUNCTION("""COMPUTED_VALUE"""),"12-783")</f>
        <v>12-783</v>
      </c>
      <c r="AI83" s="21">
        <f ca="1">IFERROR(__xludf.DUMMYFUNCTION("""COMPUTED_VALUE"""),44420.357662037)</f>
        <v>44420.357662037</v>
      </c>
    </row>
    <row r="84" spans="1:35" ht="13" x14ac:dyDescent="0.15">
      <c r="A84">
        <f ca="1">IFERROR(__xludf.DUMMYFUNCTION("""COMPUTED_VALUE"""),349)</f>
        <v>349</v>
      </c>
      <c r="B84" t="str">
        <f ca="1">IFERROR(__xludf.DUMMYFUNCTION("""COMPUTED_VALUE"""),"Енко Ентерпрайз")</f>
        <v>Енко Ентерпрайз</v>
      </c>
      <c r="C84" t="str">
        <f ca="1">IFERROR(__xludf.DUMMYFUNCTION("""COMPUTED_VALUE"""),"ФМС груп")</f>
        <v>ФМС груп</v>
      </c>
      <c r="D84">
        <f ca="1">IFERROR(__xludf.DUMMYFUNCTION("""COMPUTED_VALUE"""),63059315)</f>
        <v>63059315</v>
      </c>
      <c r="E84" t="str">
        <f ca="1">IFERROR(__xludf.DUMMYFUNCTION("""COMPUTED_VALUE"""),"60 ПОЛУВАГОНЫ")</f>
        <v>60 ПОЛУВАГОНЫ</v>
      </c>
      <c r="F84">
        <f ca="1">IFERROR(__xludf.DUMMYFUNCTION("""COMPUTED_VALUE"""),42103)</f>
        <v>42103</v>
      </c>
      <c r="G84" t="str">
        <f ca="1">IFERROR(__xludf.DUMMYFUNCTION("""COMPUTED_VALUE"""),"ВАГОНЫ ЖД СВ")</f>
        <v>ВАГОНЫ ЖД СВ</v>
      </c>
      <c r="H84">
        <f ca="1">IFERROR(__xludf.DUMMYFUNCTION("""COMPUTED_VALUE"""),0)</f>
        <v>0</v>
      </c>
      <c r="I84">
        <f ca="1">IFERROR(__xludf.DUMMYFUNCTION("""COMPUTED_VALUE"""),6182)</f>
        <v>6182</v>
      </c>
      <c r="J84" t="str">
        <f ca="1">IFERROR(__xludf.DUMMYFUNCTION("""COMPUTED_VALUE"""),"2728 (40080-322-41300) ОДЕССА-ПЕРЕС - ВОЗНЕСЕНСК")</f>
        <v>2728 (40080-322-41300) ОДЕССА-ПЕРЕС - ВОЗНЕСЕНСК</v>
      </c>
      <c r="K84">
        <f ca="1">IFERROR(__xludf.DUMMYFUNCTION("""COMPUTED_VALUE"""),41300)</f>
        <v>41300</v>
      </c>
      <c r="L84" t="str">
        <f ca="1">IFERROR(__xludf.DUMMYFUNCTION("""COMPUTED_VALUE"""),"ВОЗНЕСЕНСК")</f>
        <v>ВОЗНЕСЕНСК</v>
      </c>
      <c r="M84" t="str">
        <f ca="1">IFERROR(__xludf.DUMMYFUNCTION("""COMPUTED_VALUE"""),"11.08.21 10-51")</f>
        <v>11.08.21 10-51</v>
      </c>
      <c r="N84" t="str">
        <f ca="1">IFERROR(__xludf.DUMMYFUNCTION("""COMPUTED_VALUE"""),"04 РАСФ")</f>
        <v>04 РАСФ</v>
      </c>
      <c r="O84">
        <f ca="1">IFERROR(__xludf.DUMMYFUNCTION("""COMPUTED_VALUE"""),41310)</f>
        <v>41310</v>
      </c>
      <c r="P84" t="str">
        <f ca="1">IFERROR(__xludf.DUMMYFUNCTION("""COMPUTED_VALUE"""),"АЛЕКСАНДР")</f>
        <v>АЛЕКСАНДР</v>
      </c>
      <c r="Q84">
        <f ca="1">IFERROR(__xludf.DUMMYFUNCTION("""COMPUTED_VALUE"""),40510)</f>
        <v>40510</v>
      </c>
      <c r="R84" t="str">
        <f ca="1">IFERROR(__xludf.DUMMYFUNCTION("""COMPUTED_VALUE"""),"ОДЕССА-ЗАС I")</f>
        <v>ОДЕССА-ЗАС I</v>
      </c>
      <c r="S84" t="str">
        <f ca="1">IFERROR(__xludf.DUMMYFUNCTION("""COMPUTED_VALUE"""),"10.08.21 17-30")</f>
        <v>10.08.21 17-30</v>
      </c>
      <c r="T84">
        <f ca="1">IFERROR(__xludf.DUMMYFUNCTION("""COMPUTED_VALUE"""),1879)</f>
        <v>1879</v>
      </c>
      <c r="U84" t="str">
        <f ca="1">IFERROR(__xludf.DUMMYFUNCTION("""COMPUTED_VALUE"""),"02.11.2021 ДР")</f>
        <v>02.11.2021 ДР</v>
      </c>
      <c r="Z84" t="str">
        <f ca="1">IFERROR(__xludf.DUMMYFUNCTION("""COMPUTED_VALUE"""),"ООО ""Ф.М.С. групп""")</f>
        <v>ООО "Ф.М.С. групп"</v>
      </c>
      <c r="AA84" t="str">
        <f ca="1">IFERROR(__xludf.DUMMYFUNCTION("""COMPUTED_VALUE"""),"12-783")</f>
        <v>12-783</v>
      </c>
      <c r="AI84" s="21">
        <f ca="1">IFERROR(__xludf.DUMMYFUNCTION("""COMPUTED_VALUE"""),44420.357662037)</f>
        <v>44420.357662037</v>
      </c>
    </row>
    <row r="85" spans="1:35" ht="13" x14ac:dyDescent="0.15">
      <c r="A85">
        <f ca="1">IFERROR(__xludf.DUMMYFUNCTION("""COMPUTED_VALUE"""),350)</f>
        <v>350</v>
      </c>
      <c r="B85" t="str">
        <f ca="1">IFERROR(__xludf.DUMMYFUNCTION("""COMPUTED_VALUE"""),"Енко Ентерпрайз")</f>
        <v>Енко Ентерпрайз</v>
      </c>
      <c r="C85" t="str">
        <f ca="1">IFERROR(__xludf.DUMMYFUNCTION("""COMPUTED_VALUE"""),"ФМС груп")</f>
        <v>ФМС груп</v>
      </c>
      <c r="D85">
        <f ca="1">IFERROR(__xludf.DUMMYFUNCTION("""COMPUTED_VALUE"""),63069348)</f>
        <v>63069348</v>
      </c>
      <c r="E85" t="str">
        <f ca="1">IFERROR(__xludf.DUMMYFUNCTION("""COMPUTED_VALUE"""),"60 ПОЛУВАГОНЫ")</f>
        <v>60 ПОЛУВАГОНЫ</v>
      </c>
      <c r="F85">
        <f ca="1">IFERROR(__xludf.DUMMYFUNCTION("""COMPUTED_VALUE"""),42103)</f>
        <v>42103</v>
      </c>
      <c r="G85" t="str">
        <f ca="1">IFERROR(__xludf.DUMMYFUNCTION("""COMPUTED_VALUE"""),"ВАГОНЫ ЖД СВ")</f>
        <v>ВАГОНЫ ЖД СВ</v>
      </c>
      <c r="H85">
        <f ca="1">IFERROR(__xludf.DUMMYFUNCTION("""COMPUTED_VALUE"""),0)</f>
        <v>0</v>
      </c>
      <c r="I85">
        <f ca="1">IFERROR(__xludf.DUMMYFUNCTION("""COMPUTED_VALUE"""),5986)</f>
        <v>5986</v>
      </c>
      <c r="J85" t="str">
        <f ca="1">IFERROR(__xludf.DUMMYFUNCTION("""COMPUTED_VALUE"""),"3721 (40510-314-40020) ОДЕССА-ЗАС I - ОДЕС-ТОВАРН")</f>
        <v>3721 (40510-314-40020) ОДЕССА-ЗАС I - ОДЕС-ТОВАРН</v>
      </c>
      <c r="K85">
        <f ca="1">IFERROR(__xludf.DUMMYFUNCTION("""COMPUTED_VALUE"""),40130)</f>
        <v>40130</v>
      </c>
      <c r="L85" t="str">
        <f ca="1">IFERROR(__xludf.DUMMYFUNCTION("""COMPUTED_VALUE"""),"ОДЕС-ЗАС II")</f>
        <v>ОДЕС-ЗАС II</v>
      </c>
      <c r="M85" t="str">
        <f ca="1">IFERROR(__xludf.DUMMYFUNCTION("""COMPUTED_VALUE"""),"11.08.21 14-50")</f>
        <v>11.08.21 14-50</v>
      </c>
      <c r="N85" t="str">
        <f ca="1">IFERROR(__xludf.DUMMYFUNCTION("""COMPUTED_VALUE"""),"86 ОДПВ")</f>
        <v>86 ОДПВ</v>
      </c>
      <c r="O85">
        <f ca="1">IFERROR(__xludf.DUMMYFUNCTION("""COMPUTED_VALUE"""),41190)</f>
        <v>41190</v>
      </c>
      <c r="P85" t="str">
        <f ca="1">IFERROR(__xludf.DUMMYFUNCTION("""COMPUTED_VALUE"""),"ПОМОШНАЯ")</f>
        <v>ПОМОШНАЯ</v>
      </c>
      <c r="Q85">
        <f ca="1">IFERROR(__xludf.DUMMYFUNCTION("""COMPUTED_VALUE"""),40130)</f>
        <v>40130</v>
      </c>
      <c r="R85" t="str">
        <f ca="1">IFERROR(__xludf.DUMMYFUNCTION("""COMPUTED_VALUE"""),"ОДЕС-ЗАС II")</f>
        <v>ОДЕС-ЗАС II</v>
      </c>
      <c r="S85" t="str">
        <f ca="1">IFERROR(__xludf.DUMMYFUNCTION("""COMPUTED_VALUE"""),"11.08.21 14-50")</f>
        <v>11.08.21 14-50</v>
      </c>
      <c r="T85">
        <f ca="1">IFERROR(__xludf.DUMMYFUNCTION("""COMPUTED_VALUE"""),1879)</f>
        <v>1879</v>
      </c>
      <c r="U85" t="str">
        <f ca="1">IFERROR(__xludf.DUMMYFUNCTION("""COMPUTED_VALUE"""),"03.11.2021 ДР")</f>
        <v>03.11.2021 ДР</v>
      </c>
      <c r="Z85" t="str">
        <f ca="1">IFERROR(__xludf.DUMMYFUNCTION("""COMPUTED_VALUE"""),"ООО ""Ф.М.С. групп""")</f>
        <v>ООО "Ф.М.С. групп"</v>
      </c>
      <c r="AA85" t="str">
        <f ca="1">IFERROR(__xludf.DUMMYFUNCTION("""COMPUTED_VALUE"""),"12-783")</f>
        <v>12-783</v>
      </c>
      <c r="AI85" s="21">
        <f ca="1">IFERROR(__xludf.DUMMYFUNCTION("""COMPUTED_VALUE"""),44420.357662037)</f>
        <v>44420.357662037</v>
      </c>
    </row>
    <row r="86" spans="1:35" ht="13" x14ac:dyDescent="0.15">
      <c r="A86">
        <f ca="1">IFERROR(__xludf.DUMMYFUNCTION("""COMPUTED_VALUE"""),351)</f>
        <v>351</v>
      </c>
      <c r="B86" t="str">
        <f ca="1">IFERROR(__xludf.DUMMYFUNCTION("""COMPUTED_VALUE"""),"Енко Ентерпрайз")</f>
        <v>Енко Ентерпрайз</v>
      </c>
      <c r="C86" t="str">
        <f ca="1">IFERROR(__xludf.DUMMYFUNCTION("""COMPUTED_VALUE"""),"ФМС груп")</f>
        <v>ФМС груп</v>
      </c>
      <c r="D86">
        <f ca="1">IFERROR(__xludf.DUMMYFUNCTION("""COMPUTED_VALUE"""),63069678)</f>
        <v>63069678</v>
      </c>
      <c r="E86" t="str">
        <f ca="1">IFERROR(__xludf.DUMMYFUNCTION("""COMPUTED_VALUE"""),"60 ПОЛУВАГОНЫ")</f>
        <v>60 ПОЛУВАГОНЫ</v>
      </c>
      <c r="F86">
        <f ca="1">IFERROR(__xludf.DUMMYFUNCTION("""COMPUTED_VALUE"""),42103)</f>
        <v>42103</v>
      </c>
      <c r="G86" t="str">
        <f ca="1">IFERROR(__xludf.DUMMYFUNCTION("""COMPUTED_VALUE"""),"ВАГОНЫ ЖД СВ")</f>
        <v>ВАГОНЫ ЖД СВ</v>
      </c>
      <c r="H86">
        <f ca="1">IFERROR(__xludf.DUMMYFUNCTION("""COMPUTED_VALUE"""),0)</f>
        <v>0</v>
      </c>
      <c r="I86">
        <f ca="1">IFERROR(__xludf.DUMMYFUNCTION("""COMPUTED_VALUE"""),5986)</f>
        <v>5986</v>
      </c>
      <c r="J86" t="str">
        <f ca="1">IFERROR(__xludf.DUMMYFUNCTION("""COMPUTED_VALUE"""),"3721 (40510-314-40020) ОДЕССА-ЗАС I - ОДЕС-ТОВАРН")</f>
        <v>3721 (40510-314-40020) ОДЕССА-ЗАС I - ОДЕС-ТОВАРН</v>
      </c>
      <c r="K86">
        <f ca="1">IFERROR(__xludf.DUMMYFUNCTION("""COMPUTED_VALUE"""),40130)</f>
        <v>40130</v>
      </c>
      <c r="L86" t="str">
        <f ca="1">IFERROR(__xludf.DUMMYFUNCTION("""COMPUTED_VALUE"""),"ОДЕС-ЗАС II")</f>
        <v>ОДЕС-ЗАС II</v>
      </c>
      <c r="M86" t="str">
        <f ca="1">IFERROR(__xludf.DUMMYFUNCTION("""COMPUTED_VALUE"""),"11.08.21 14-50")</f>
        <v>11.08.21 14-50</v>
      </c>
      <c r="N86" t="str">
        <f ca="1">IFERROR(__xludf.DUMMYFUNCTION("""COMPUTED_VALUE"""),"86 ОДПВ")</f>
        <v>86 ОДПВ</v>
      </c>
      <c r="O86">
        <f ca="1">IFERROR(__xludf.DUMMYFUNCTION("""COMPUTED_VALUE"""),41190)</f>
        <v>41190</v>
      </c>
      <c r="P86" t="str">
        <f ca="1">IFERROR(__xludf.DUMMYFUNCTION("""COMPUTED_VALUE"""),"ПОМОШНАЯ")</f>
        <v>ПОМОШНАЯ</v>
      </c>
      <c r="Q86">
        <f ca="1">IFERROR(__xludf.DUMMYFUNCTION("""COMPUTED_VALUE"""),40130)</f>
        <v>40130</v>
      </c>
      <c r="R86" t="str">
        <f ca="1">IFERROR(__xludf.DUMMYFUNCTION("""COMPUTED_VALUE"""),"ОДЕС-ЗАС II")</f>
        <v>ОДЕС-ЗАС II</v>
      </c>
      <c r="S86" t="str">
        <f ca="1">IFERROR(__xludf.DUMMYFUNCTION("""COMPUTED_VALUE"""),"11.08.21 14-50")</f>
        <v>11.08.21 14-50</v>
      </c>
      <c r="T86">
        <f ca="1">IFERROR(__xludf.DUMMYFUNCTION("""COMPUTED_VALUE"""),1879)</f>
        <v>1879</v>
      </c>
      <c r="U86" t="str">
        <f ca="1">IFERROR(__xludf.DUMMYFUNCTION("""COMPUTED_VALUE"""),"03.11.2021 ДР")</f>
        <v>03.11.2021 ДР</v>
      </c>
      <c r="Z86" t="str">
        <f ca="1">IFERROR(__xludf.DUMMYFUNCTION("""COMPUTED_VALUE"""),"ООО ""Ф.М.С. групп""")</f>
        <v>ООО "Ф.М.С. групп"</v>
      </c>
      <c r="AA86" t="str">
        <f ca="1">IFERROR(__xludf.DUMMYFUNCTION("""COMPUTED_VALUE"""),"12-783")</f>
        <v>12-783</v>
      </c>
      <c r="AI86" s="21">
        <f ca="1">IFERROR(__xludf.DUMMYFUNCTION("""COMPUTED_VALUE"""),44420.357662037)</f>
        <v>44420.357662037</v>
      </c>
    </row>
    <row r="87" spans="1:35" ht="13" x14ac:dyDescent="0.15">
      <c r="A87">
        <f ca="1">IFERROR(__xludf.DUMMYFUNCTION("""COMPUTED_VALUE"""),352)</f>
        <v>352</v>
      </c>
      <c r="B87" t="str">
        <f ca="1">IFERROR(__xludf.DUMMYFUNCTION("""COMPUTED_VALUE"""),"Енко Ентерпрайз")</f>
        <v>Енко Ентерпрайз</v>
      </c>
      <c r="C87" t="str">
        <f ca="1">IFERROR(__xludf.DUMMYFUNCTION("""COMPUTED_VALUE"""),"Индустриальные решения")</f>
        <v>Индустриальные решения</v>
      </c>
      <c r="D87">
        <f ca="1">IFERROR(__xludf.DUMMYFUNCTION("""COMPUTED_VALUE"""),63083638)</f>
        <v>63083638</v>
      </c>
      <c r="E87" t="str">
        <f ca="1">IFERROR(__xludf.DUMMYFUNCTION("""COMPUTED_VALUE"""),"60 ПОЛУВАГОНЫ")</f>
        <v>60 ПОЛУВАГОНЫ</v>
      </c>
      <c r="F87">
        <f ca="1">IFERROR(__xludf.DUMMYFUNCTION("""COMPUTED_VALUE"""),23225)</f>
        <v>23225</v>
      </c>
      <c r="G87" t="str">
        <f ca="1">IFERROR(__xludf.DUMMYFUNCTION("""COMPUTED_VALUE"""),"ОТСЕВ ГРАН КАМ")</f>
        <v>ОТСЕВ ГРАН КАМ</v>
      </c>
      <c r="H87">
        <f ca="1">IFERROR(__xludf.DUMMYFUNCTION("""COMPUTED_VALUE"""),70)</f>
        <v>70</v>
      </c>
      <c r="I87">
        <f ca="1">IFERROR(__xludf.DUMMYFUNCTION("""COMPUTED_VALUE"""),1879)</f>
        <v>1879</v>
      </c>
      <c r="J87" t="str">
        <f ca="1">IFERROR(__xludf.DUMMYFUNCTION("""COMPUTED_VALUE"""),"9501 (41190-721-40510) ПОМОШНАЯ - ОДЕССА-ЗАС I")</f>
        <v>9501 (41190-721-40510) ПОМОШНАЯ - ОДЕССА-ЗАС I</v>
      </c>
      <c r="K87">
        <f ca="1">IFERROR(__xludf.DUMMYFUNCTION("""COMPUTED_VALUE"""),40760)</f>
        <v>40760</v>
      </c>
      <c r="L87" t="str">
        <f ca="1">IFERROR(__xludf.DUMMYFUNCTION("""COMPUTED_VALUE"""),"ПЕРВ-НА-БУГЕ")</f>
        <v>ПЕРВ-НА-БУГЕ</v>
      </c>
      <c r="M87" t="str">
        <f ca="1">IFERROR(__xludf.DUMMYFUNCTION("""COMPUTED_VALUE"""),"12.08.21 06-41")</f>
        <v>12.08.21 06-41</v>
      </c>
      <c r="N87" t="str">
        <f ca="1">IFERROR(__xludf.DUMMYFUNCTION("""COMPUTED_VALUE"""),"03 ПРОС")</f>
        <v>03 ПРОС</v>
      </c>
      <c r="O87">
        <f ca="1">IFERROR(__xludf.DUMMYFUNCTION("""COMPUTED_VALUE"""),40130)</f>
        <v>40130</v>
      </c>
      <c r="P87" t="str">
        <f ca="1">IFERROR(__xludf.DUMMYFUNCTION("""COMPUTED_VALUE"""),"ОДЕС-ЗАС II")</f>
        <v>ОДЕС-ЗАС II</v>
      </c>
      <c r="Q87">
        <f ca="1">IFERROR(__xludf.DUMMYFUNCTION("""COMPUTED_VALUE"""),41190)</f>
        <v>41190</v>
      </c>
      <c r="R87" t="str">
        <f ca="1">IFERROR(__xludf.DUMMYFUNCTION("""COMPUTED_VALUE"""),"ПОМОШНАЯ")</f>
        <v>ПОМОШНАЯ</v>
      </c>
      <c r="S87" t="str">
        <f ca="1">IFERROR(__xludf.DUMMYFUNCTION("""COMPUTED_VALUE"""),"11.08.21 18-10")</f>
        <v>11.08.21 18-10</v>
      </c>
      <c r="T87">
        <f ca="1">IFERROR(__xludf.DUMMYFUNCTION("""COMPUTED_VALUE"""),5986)</f>
        <v>5986</v>
      </c>
      <c r="U87" t="str">
        <f ca="1">IFERROR(__xludf.DUMMYFUNCTION("""COMPUTED_VALUE"""),"03.11.2021 ДР")</f>
        <v>03.11.2021 ДР</v>
      </c>
      <c r="Z87" t="str">
        <f ca="1">IFERROR(__xludf.DUMMYFUNCTION("""COMPUTED_VALUE"""),"ООО ""ИНДУСТРИАЛЬНЫЕ РЕШЕНИЯ""")</f>
        <v>ООО "ИНДУСТРИАЛЬНЫЕ РЕШЕНИЯ"</v>
      </c>
      <c r="AA87" t="str">
        <f ca="1">IFERROR(__xludf.DUMMYFUNCTION("""COMPUTED_VALUE"""),"12-783")</f>
        <v>12-783</v>
      </c>
      <c r="AI87" s="21">
        <f ca="1">IFERROR(__xludf.DUMMYFUNCTION("""COMPUTED_VALUE"""),44420.357662037)</f>
        <v>44420.357662037</v>
      </c>
    </row>
    <row r="88" spans="1:35" ht="13" x14ac:dyDescent="0.15">
      <c r="A88">
        <f ca="1">IFERROR(__xludf.DUMMYFUNCTION("""COMPUTED_VALUE"""),361)</f>
        <v>361</v>
      </c>
      <c r="B88" t="str">
        <f ca="1">IFERROR(__xludf.DUMMYFUNCTION("""COMPUTED_VALUE"""),"Техрейс")</f>
        <v>Техрейс</v>
      </c>
      <c r="C88" t="str">
        <f ca="1">IFERROR(__xludf.DUMMYFUNCTION("""COMPUTED_VALUE"""),"Индустриальные решения")</f>
        <v>Индустриальные решения</v>
      </c>
      <c r="D88">
        <f ca="1">IFERROR(__xludf.DUMMYFUNCTION("""COMPUTED_VALUE"""),63070221)</f>
        <v>63070221</v>
      </c>
      <c r="E88" t="str">
        <f ca="1">IFERROR(__xludf.DUMMYFUNCTION("""COMPUTED_VALUE"""),"60 ПОЛУВАГОНЫ")</f>
        <v>60 ПОЛУВАГОНЫ</v>
      </c>
      <c r="F88">
        <f ca="1">IFERROR(__xludf.DUMMYFUNCTION("""COMPUTED_VALUE"""),14109)</f>
        <v>14109</v>
      </c>
      <c r="G88" t="str">
        <f ca="1">IFERROR(__xludf.DUMMYFUNCTION("""COMPUTED_VALUE"""),"ГЕМАТИТ")</f>
        <v>ГЕМАТИТ</v>
      </c>
      <c r="H88">
        <f ca="1">IFERROR(__xludf.DUMMYFUNCTION("""COMPUTED_VALUE"""),70)</f>
        <v>70</v>
      </c>
      <c r="I88">
        <f ca="1">IFERROR(__xludf.DUMMYFUNCTION("""COMPUTED_VALUE"""),5786)</f>
        <v>5786</v>
      </c>
      <c r="J88" t="str">
        <f ca="1">IFERROR(__xludf.DUMMYFUNCTION("""COMPUTED_VALUE"""),"1609 (46720-447-40050) КРИВОЙ РОГ - БЕРЕГОВАЯ")</f>
        <v>1609 (46720-447-40050) КРИВОЙ РОГ - БЕРЕГОВАЯ</v>
      </c>
      <c r="K88">
        <f ca="1">IFERROR(__xludf.DUMMYFUNCTION("""COMPUTED_VALUE"""),40050)</f>
        <v>40050</v>
      </c>
      <c r="L88" t="str">
        <f ca="1">IFERROR(__xludf.DUMMYFUNCTION("""COMPUTED_VALUE"""),"БЕРЕГОВАЯ")</f>
        <v>БЕРЕГОВАЯ</v>
      </c>
      <c r="M88" t="str">
        <f ca="1">IFERROR(__xludf.DUMMYFUNCTION("""COMPUTED_VALUE"""),"12.08.21 07-31")</f>
        <v>12.08.21 07-31</v>
      </c>
      <c r="N88" t="str">
        <f ca="1">IFERROR(__xludf.DUMMYFUNCTION("""COMPUTED_VALUE"""),"04 РАСФ")</f>
        <v>04 РАСФ</v>
      </c>
      <c r="O88">
        <f ca="1">IFERROR(__xludf.DUMMYFUNCTION("""COMPUTED_VALUE"""),40060)</f>
        <v>40060</v>
      </c>
      <c r="P88" t="str">
        <f ca="1">IFERROR(__xludf.DUMMYFUNCTION("""COMPUTED_VALUE"""),"БЕРЕГОВАЯ-Э")</f>
        <v>БЕРЕГОВАЯ-Э</v>
      </c>
      <c r="Q88">
        <f ca="1">IFERROR(__xludf.DUMMYFUNCTION("""COMPUTED_VALUE"""),46720)</f>
        <v>46720</v>
      </c>
      <c r="R88" t="str">
        <f ca="1">IFERROR(__xludf.DUMMYFUNCTION("""COMPUTED_VALUE"""),"КРИВОЙ РОГ")</f>
        <v>КРИВОЙ РОГ</v>
      </c>
      <c r="S88" t="str">
        <f ca="1">IFERROR(__xludf.DUMMYFUNCTION("""COMPUTED_VALUE"""),"11.08.21 03-10")</f>
        <v>11.08.21 03-10</v>
      </c>
      <c r="T88">
        <f ca="1">IFERROR(__xludf.DUMMYFUNCTION("""COMPUTED_VALUE"""),5343)</f>
        <v>5343</v>
      </c>
      <c r="U88" t="str">
        <f ca="1">IFERROR(__xludf.DUMMYFUNCTION("""COMPUTED_VALUE"""),"03.11.2021 ДР")</f>
        <v>03.11.2021 ДР</v>
      </c>
      <c r="Z88" t="str">
        <f ca="1">IFERROR(__xludf.DUMMYFUNCTION("""COMPUTED_VALUE"""),"ООО ""ИНДУСТРИАЛЬНЫЕ РЕШЕНИЯ""")</f>
        <v>ООО "ИНДУСТРИАЛЬНЫЕ РЕШЕНИЯ"</v>
      </c>
      <c r="AA88" t="str">
        <f ca="1">IFERROR(__xludf.DUMMYFUNCTION("""COMPUTED_VALUE"""),"12-783")</f>
        <v>12-783</v>
      </c>
      <c r="AI88" s="21">
        <f ca="1">IFERROR(__xludf.DUMMYFUNCTION("""COMPUTED_VALUE"""),44420.357662037)</f>
        <v>44420.357662037</v>
      </c>
    </row>
    <row r="89" spans="1:35" ht="13" x14ac:dyDescent="0.15">
      <c r="A89">
        <f ca="1">IFERROR(__xludf.DUMMYFUNCTION("""COMPUTED_VALUE"""),362)</f>
        <v>362</v>
      </c>
      <c r="B89" t="str">
        <f ca="1">IFERROR(__xludf.DUMMYFUNCTION("""COMPUTED_VALUE"""),"Техрейс")</f>
        <v>Техрейс</v>
      </c>
      <c r="C89" t="str">
        <f ca="1">IFERROR(__xludf.DUMMYFUNCTION("""COMPUTED_VALUE"""),"Индустриальные решения")</f>
        <v>Индустриальные решения</v>
      </c>
      <c r="D89">
        <f ca="1">IFERROR(__xludf.DUMMYFUNCTION("""COMPUTED_VALUE"""),63071476)</f>
        <v>63071476</v>
      </c>
      <c r="E89" t="str">
        <f ca="1">IFERROR(__xludf.DUMMYFUNCTION("""COMPUTED_VALUE"""),"60 ПОЛУВАГОНЫ")</f>
        <v>60 ПОЛУВАГОНЫ</v>
      </c>
      <c r="F89">
        <f ca="1">IFERROR(__xludf.DUMMYFUNCTION("""COMPUTED_VALUE"""),14109)</f>
        <v>14109</v>
      </c>
      <c r="G89" t="str">
        <f ca="1">IFERROR(__xludf.DUMMYFUNCTION("""COMPUTED_VALUE"""),"ГЕМАТИТ")</f>
        <v>ГЕМАТИТ</v>
      </c>
      <c r="H89">
        <f ca="1">IFERROR(__xludf.DUMMYFUNCTION("""COMPUTED_VALUE"""),70)</f>
        <v>70</v>
      </c>
      <c r="I89">
        <f ca="1">IFERROR(__xludf.DUMMYFUNCTION("""COMPUTED_VALUE"""),5786)</f>
        <v>5786</v>
      </c>
      <c r="J89" t="str">
        <f ca="1">IFERROR(__xludf.DUMMYFUNCTION("""COMPUTED_VALUE"""),"2760 (40050-083-46720) БЕРЕГОВАЯ - КРИВОЙ РОГ")</f>
        <v>2760 (40050-083-46720) БЕРЕГОВАЯ - КРИВОЙ РОГ</v>
      </c>
      <c r="K89">
        <f ca="1">IFERROR(__xludf.DUMMYFUNCTION("""COMPUTED_VALUE"""),40050)</f>
        <v>40050</v>
      </c>
      <c r="L89" t="str">
        <f ca="1">IFERROR(__xludf.DUMMYFUNCTION("""COMPUTED_VALUE"""),"БЕРЕГОВАЯ")</f>
        <v>БЕРЕГОВАЯ</v>
      </c>
      <c r="M89" t="str">
        <f ca="1">IFERROR(__xludf.DUMMYFUNCTION("""COMPUTED_VALUE"""),"12.08.21 05-00")</f>
        <v>12.08.21 05-00</v>
      </c>
      <c r="N89" t="str">
        <f ca="1">IFERROR(__xludf.DUMMYFUNCTION("""COMPUTED_VALUE"""),"21 ВЫГ2")</f>
        <v>21 ВЫГ2</v>
      </c>
      <c r="O89">
        <f ca="1">IFERROR(__xludf.DUMMYFUNCTION("""COMPUTED_VALUE"""),40060)</f>
        <v>40060</v>
      </c>
      <c r="P89" t="str">
        <f ca="1">IFERROR(__xludf.DUMMYFUNCTION("""COMPUTED_VALUE"""),"БЕРЕГОВАЯ-Э")</f>
        <v>БЕРЕГОВАЯ-Э</v>
      </c>
      <c r="Q89">
        <f ca="1">IFERROR(__xludf.DUMMYFUNCTION("""COMPUTED_VALUE"""),46720)</f>
        <v>46720</v>
      </c>
      <c r="R89" t="str">
        <f ca="1">IFERROR(__xludf.DUMMYFUNCTION("""COMPUTED_VALUE"""),"КРИВОЙ РОГ")</f>
        <v>КРИВОЙ РОГ</v>
      </c>
      <c r="S89" t="str">
        <f ca="1">IFERROR(__xludf.DUMMYFUNCTION("""COMPUTED_VALUE"""),"10.08.21 10-20")</f>
        <v>10.08.21 10-20</v>
      </c>
      <c r="U89" t="str">
        <f ca="1">IFERROR(__xludf.DUMMYFUNCTION("""COMPUTED_VALUE"""),"03.11.2021 ДР")</f>
        <v>03.11.2021 ДР</v>
      </c>
      <c r="Z89" t="str">
        <f ca="1">IFERROR(__xludf.DUMMYFUNCTION("""COMPUTED_VALUE"""),"ООО ""ИНДУСТРИАЛЬНЫЕ РЕШЕНИЯ""")</f>
        <v>ООО "ИНДУСТРИАЛЬНЫЕ РЕШЕНИЯ"</v>
      </c>
      <c r="AA89" t="str">
        <f ca="1">IFERROR(__xludf.DUMMYFUNCTION("""COMPUTED_VALUE"""),"12-783")</f>
        <v>12-783</v>
      </c>
      <c r="AI89" s="21">
        <f ca="1">IFERROR(__xludf.DUMMYFUNCTION("""COMPUTED_VALUE"""),44420.357662037)</f>
        <v>44420.357662037</v>
      </c>
    </row>
    <row r="90" spans="1:35" ht="13" x14ac:dyDescent="0.15">
      <c r="A90">
        <f ca="1">IFERROR(__xludf.DUMMYFUNCTION("""COMPUTED_VALUE"""),363)</f>
        <v>363</v>
      </c>
      <c r="B90" t="str">
        <f ca="1">IFERROR(__xludf.DUMMYFUNCTION("""COMPUTED_VALUE"""),"Техрейс")</f>
        <v>Техрейс</v>
      </c>
      <c r="C90" t="str">
        <f ca="1">IFERROR(__xludf.DUMMYFUNCTION("""COMPUTED_VALUE"""),"Индустриальные решения")</f>
        <v>Индустриальные решения</v>
      </c>
      <c r="D90">
        <f ca="1">IFERROR(__xludf.DUMMYFUNCTION("""COMPUTED_VALUE"""),63084909)</f>
        <v>63084909</v>
      </c>
      <c r="E90" t="str">
        <f ca="1">IFERROR(__xludf.DUMMYFUNCTION("""COMPUTED_VALUE"""),"60 ПОЛУВАГОНЫ")</f>
        <v>60 ПОЛУВАГОНЫ</v>
      </c>
      <c r="F90">
        <f ca="1">IFERROR(__xludf.DUMMYFUNCTION("""COMPUTED_VALUE"""),42103)</f>
        <v>42103</v>
      </c>
      <c r="G90" t="str">
        <f ca="1">IFERROR(__xludf.DUMMYFUNCTION("""COMPUTED_VALUE"""),"ВАГОНЫ ЖД СВ")</f>
        <v>ВАГОНЫ ЖД СВ</v>
      </c>
      <c r="H90">
        <f ca="1">IFERROR(__xludf.DUMMYFUNCTION("""COMPUTED_VALUE"""),70)</f>
        <v>70</v>
      </c>
      <c r="I90">
        <f ca="1">IFERROR(__xludf.DUMMYFUNCTION("""COMPUTED_VALUE"""),1727)</f>
        <v>1727</v>
      </c>
      <c r="J90" t="str">
        <f ca="1">IFERROR(__xludf.DUMMYFUNCTION("""COMPUTED_VALUE"""),"3202 (35130-011-35400) ЯГОДИН - КОВЕЛЬ")</f>
        <v>3202 (35130-011-35400) ЯГОДИН - КОВЕЛЬ</v>
      </c>
      <c r="K90">
        <f ca="1">IFERROR(__xludf.DUMMYFUNCTION("""COMPUTED_VALUE"""),35400)</f>
        <v>35400</v>
      </c>
      <c r="L90" t="str">
        <f ca="1">IFERROR(__xludf.DUMMYFUNCTION("""COMPUTED_VALUE"""),"КОВЕЛЬ")</f>
        <v>КОВЕЛЬ</v>
      </c>
      <c r="M90" t="str">
        <f ca="1">IFERROR(__xludf.DUMMYFUNCTION("""COMPUTED_VALUE"""),"12.08.21 06-18")</f>
        <v>12.08.21 06-18</v>
      </c>
      <c r="N90" t="str">
        <f ca="1">IFERROR(__xludf.DUMMYFUNCTION("""COMPUTED_VALUE"""),"72 ОТЦ")</f>
        <v>72 ОТЦ</v>
      </c>
      <c r="O90">
        <f ca="1">IFERROR(__xludf.DUMMYFUNCTION("""COMPUTED_VALUE"""),35050)</f>
        <v>35050</v>
      </c>
      <c r="P90" t="str">
        <f ca="1">IFERROR(__xludf.DUMMYFUNCTION("""COMPUTED_VALUE"""),"КРЕМЕНЕЦ")</f>
        <v>КРЕМЕНЕЦ</v>
      </c>
      <c r="Q90">
        <f ca="1">IFERROR(__xludf.DUMMYFUNCTION("""COMPUTED_VALUE"""),49480)</f>
        <v>49480</v>
      </c>
      <c r="R90" t="str">
        <f ca="1">IFERROR(__xludf.DUMMYFUNCTION("""COMPUTED_VALUE"""),"СОЛЬ")</f>
        <v>СОЛЬ</v>
      </c>
      <c r="S90" t="str">
        <f ca="1">IFERROR(__xludf.DUMMYFUNCTION("""COMPUTED_VALUE"""),"30.07.21 16-15")</f>
        <v>30.07.21 16-15</v>
      </c>
      <c r="T90">
        <f ca="1">IFERROR(__xludf.DUMMYFUNCTION("""COMPUTED_VALUE"""),0)</f>
        <v>0</v>
      </c>
      <c r="U90" t="str">
        <f ca="1">IFERROR(__xludf.DUMMYFUNCTION("""COMPUTED_VALUE"""),"03.11.2021 ДР")</f>
        <v>03.11.2021 ДР</v>
      </c>
      <c r="Z90" t="str">
        <f ca="1">IFERROR(__xludf.DUMMYFUNCTION("""COMPUTED_VALUE"""),"ООО ""ИНДУСТРИАЛЬНЫЕ РЕШЕНИЯ""")</f>
        <v>ООО "ИНДУСТРИАЛЬНЫЕ РЕШЕНИЯ"</v>
      </c>
      <c r="AA90" t="str">
        <f ca="1">IFERROR(__xludf.DUMMYFUNCTION("""COMPUTED_VALUE"""),"12-783")</f>
        <v>12-783</v>
      </c>
      <c r="AI90" s="21">
        <f ca="1">IFERROR(__xludf.DUMMYFUNCTION("""COMPUTED_VALUE"""),44420.357662037)</f>
        <v>44420.357662037</v>
      </c>
    </row>
    <row r="91" spans="1:35" ht="13" x14ac:dyDescent="0.15">
      <c r="A91">
        <f ca="1">IFERROR(__xludf.DUMMYFUNCTION("""COMPUTED_VALUE"""),393)</f>
        <v>393</v>
      </c>
      <c r="B91" t="str">
        <f ca="1">IFERROR(__xludf.DUMMYFUNCTION("""COMPUTED_VALUE"""),"Агрохимресурс")</f>
        <v>Агрохимресурс</v>
      </c>
      <c r="C91" t="str">
        <f ca="1">IFERROR(__xludf.DUMMYFUNCTION("""COMPUTED_VALUE"""),"АЛЬФА ГРУПП КИЕВ")</f>
        <v>АЛЬФА ГРУПП КИЕВ</v>
      </c>
      <c r="D91">
        <f ca="1">IFERROR(__xludf.DUMMYFUNCTION("""COMPUTED_VALUE"""),64057664)</f>
        <v>64057664</v>
      </c>
      <c r="E91" t="str">
        <f ca="1">IFERROR(__xludf.DUMMYFUNCTION("""COMPUTED_VALUE"""),"60 ПОЛУВАГОНЫ")</f>
        <v>60 ПОЛУВАГОНЫ</v>
      </c>
      <c r="F91">
        <f ca="1">IFERROR(__xludf.DUMMYFUNCTION("""COMPUTED_VALUE"""),43304)</f>
        <v>43304</v>
      </c>
      <c r="G91" t="str">
        <f ca="1">IFERROR(__xludf.DUMMYFUNCTION("""COMPUTED_VALUE"""),"КАРБАМИД")</f>
        <v>КАРБАМИД</v>
      </c>
      <c r="H91">
        <f ca="1">IFERROR(__xludf.DUMMYFUNCTION("""COMPUTED_VALUE"""),60)</f>
        <v>60</v>
      </c>
      <c r="I91">
        <f ca="1">IFERROR(__xludf.DUMMYFUNCTION("""COMPUTED_VALUE"""),2920)</f>
        <v>2920</v>
      </c>
      <c r="J91" t="str">
        <f ca="1">IFERROR(__xludf.DUMMYFUNCTION("""COMPUTED_VALUE"""),"3802 (32420-011-32500) ГРИБОВА РУД - ЧЕРНИГОВ")</f>
        <v>3802 (32420-011-32500) ГРИБОВА РУД - ЧЕРНИГОВ</v>
      </c>
      <c r="K91">
        <f ca="1">IFERROR(__xludf.DUMMYFUNCTION("""COMPUTED_VALUE"""),32500)</f>
        <v>32500</v>
      </c>
      <c r="L91" t="str">
        <f ca="1">IFERROR(__xludf.DUMMYFUNCTION("""COMPUTED_VALUE"""),"ЧЕРНИГОВ")</f>
        <v>ЧЕРНИГОВ</v>
      </c>
      <c r="M91" t="str">
        <f ca="1">IFERROR(__xludf.DUMMYFUNCTION("""COMPUTED_VALUE"""),"11.08.21 21-10")</f>
        <v>11.08.21 21-10</v>
      </c>
      <c r="N91" t="str">
        <f ca="1">IFERROR(__xludf.DUMMYFUNCTION("""COMPUTED_VALUE"""),"04 РАСФ")</f>
        <v>04 РАСФ</v>
      </c>
      <c r="O91">
        <f ca="1">IFERROR(__xludf.DUMMYFUNCTION("""COMPUTED_VALUE"""),40770)</f>
        <v>40770</v>
      </c>
      <c r="P91" t="str">
        <f ca="1">IFERROR(__xludf.DUMMYFUNCTION("""COMPUTED_VALUE"""),"КНЯЖЕВО")</f>
        <v>КНЯЖЕВО</v>
      </c>
      <c r="Q91">
        <f ca="1">IFERROR(__xludf.DUMMYFUNCTION("""COMPUTED_VALUE"""),32430)</f>
        <v>32430</v>
      </c>
      <c r="R91" t="str">
        <f ca="1">IFERROR(__xludf.DUMMYFUNCTION("""COMPUTED_VALUE"""),"ГОЛУБИЧИ")</f>
        <v>ГОЛУБИЧИ</v>
      </c>
      <c r="S91" t="str">
        <f ca="1">IFERROR(__xludf.DUMMYFUNCTION("""COMPUTED_VALUE"""),"11.08.21 14-30")</f>
        <v>11.08.21 14-30</v>
      </c>
      <c r="T91">
        <f ca="1">IFERROR(__xludf.DUMMYFUNCTION("""COMPUTED_VALUE"""),4165)</f>
        <v>4165</v>
      </c>
      <c r="U91" t="str">
        <f ca="1">IFERROR(__xludf.DUMMYFUNCTION("""COMPUTED_VALUE"""),"18.03.2022 ДР")</f>
        <v>18.03.2022 ДР</v>
      </c>
      <c r="Z91" t="str">
        <f ca="1">IFERROR(__xludf.DUMMYFUNCTION("""COMPUTED_VALUE"""),"ПАО «ПУМБ»")</f>
        <v>ПАО «ПУМБ»</v>
      </c>
      <c r="AA91" t="str">
        <f ca="1">IFERROR(__xludf.DUMMYFUNCTION("""COMPUTED_VALUE"""),"12-9745")</f>
        <v>12-9745</v>
      </c>
      <c r="AI91" s="21">
        <f ca="1">IFERROR(__xludf.DUMMYFUNCTION("""COMPUTED_VALUE"""),44420.357662037)</f>
        <v>44420.357662037</v>
      </c>
    </row>
    <row r="92" spans="1:35" ht="13" x14ac:dyDescent="0.15">
      <c r="A92">
        <f ca="1">IFERROR(__xludf.DUMMYFUNCTION("""COMPUTED_VALUE"""),394)</f>
        <v>394</v>
      </c>
      <c r="B92" t="str">
        <f ca="1">IFERROR(__xludf.DUMMYFUNCTION("""COMPUTED_VALUE"""),"Техрейс")</f>
        <v>Техрейс</v>
      </c>
      <c r="C92" t="str">
        <f ca="1">IFERROR(__xludf.DUMMYFUNCTION("""COMPUTED_VALUE"""),"АЛЬФА ГРУПП КИЕВ")</f>
        <v>АЛЬФА ГРУПП КИЕВ</v>
      </c>
      <c r="D92">
        <f ca="1">IFERROR(__xludf.DUMMYFUNCTION("""COMPUTED_VALUE"""),64057946)</f>
        <v>64057946</v>
      </c>
      <c r="E92" t="str">
        <f ca="1">IFERROR(__xludf.DUMMYFUNCTION("""COMPUTED_VALUE"""),"60 ПОЛУВАГОНЫ")</f>
        <v>60 ПОЛУВАГОНЫ</v>
      </c>
      <c r="F92">
        <f ca="1">IFERROR(__xludf.DUMMYFUNCTION("""COMPUTED_VALUE"""),43604)</f>
        <v>43604</v>
      </c>
      <c r="G92" t="str">
        <f ca="1">IFERROR(__xludf.DUMMYFUNCTION("""COMPUTED_VALUE"""),"ДИАММОФОС")</f>
        <v>ДИАММОФОС</v>
      </c>
      <c r="H92">
        <f ca="1">IFERROR(__xludf.DUMMYFUNCTION("""COMPUTED_VALUE"""),68)</f>
        <v>68</v>
      </c>
      <c r="I92">
        <f ca="1">IFERROR(__xludf.DUMMYFUNCTION("""COMPUTED_VALUE"""),2154)</f>
        <v>2154</v>
      </c>
      <c r="J92" t="str">
        <f ca="1">IFERROR(__xludf.DUMMYFUNCTION("""COMPUTED_VALUE"""),"3602 (35090-073-35000) БРОДЫ - ЗДОЛБУНОВ")</f>
        <v>3602 (35090-073-35000) БРОДЫ - ЗДОЛБУНОВ</v>
      </c>
      <c r="K92">
        <f ca="1">IFERROR(__xludf.DUMMYFUNCTION("""COMPUTED_VALUE"""),35030)</f>
        <v>35030</v>
      </c>
      <c r="L92" t="str">
        <f ca="1">IFERROR(__xludf.DUMMYFUNCTION("""COMPUTED_VALUE"""),"ДУБНО")</f>
        <v>ДУБНО</v>
      </c>
      <c r="M92" t="str">
        <f ca="1">IFERROR(__xludf.DUMMYFUNCTION("""COMPUTED_VALUE"""),"11.08.21 06-54")</f>
        <v>11.08.21 06-54</v>
      </c>
      <c r="N92" t="str">
        <f ca="1">IFERROR(__xludf.DUMMYFUNCTION("""COMPUTED_VALUE"""),"71 ПРИЦ")</f>
        <v>71 ПРИЦ</v>
      </c>
      <c r="O92">
        <f ca="1">IFERROR(__xludf.DUMMYFUNCTION("""COMPUTED_VALUE"""),46570)</f>
        <v>46570</v>
      </c>
      <c r="P92" t="str">
        <f ca="1">IFERROR(__xludf.DUMMYFUNCTION("""COMPUTED_VALUE"""),"МИРОВАЯ")</f>
        <v>МИРОВАЯ</v>
      </c>
      <c r="Q92">
        <f ca="1">IFERROR(__xludf.DUMMYFUNCTION("""COMPUTED_VALUE"""),35050)</f>
        <v>35050</v>
      </c>
      <c r="R92" t="str">
        <f ca="1">IFERROR(__xludf.DUMMYFUNCTION("""COMPUTED_VALUE"""),"КРЕМЕНЕЦ")</f>
        <v>КРЕМЕНЕЦ</v>
      </c>
      <c r="S92" t="str">
        <f ca="1">IFERROR(__xludf.DUMMYFUNCTION("""COMPUTED_VALUE"""),"09.08.21 17-00")</f>
        <v>09.08.21 17-00</v>
      </c>
      <c r="T92">
        <f ca="1">IFERROR(__xludf.DUMMYFUNCTION("""COMPUTED_VALUE"""),1727)</f>
        <v>1727</v>
      </c>
      <c r="U92" t="str">
        <f ca="1">IFERROR(__xludf.DUMMYFUNCTION("""COMPUTED_VALUE"""),"18.03.2022 ДР")</f>
        <v>18.03.2022 ДР</v>
      </c>
      <c r="Z92" t="str">
        <f ca="1">IFERROR(__xludf.DUMMYFUNCTION("""COMPUTED_VALUE"""),"ПАО «ПУМБ»")</f>
        <v>ПАО «ПУМБ»</v>
      </c>
      <c r="AA92" t="str">
        <f ca="1">IFERROR(__xludf.DUMMYFUNCTION("""COMPUTED_VALUE"""),"12-9745")</f>
        <v>12-9745</v>
      </c>
      <c r="AI92" s="21">
        <f ca="1">IFERROR(__xludf.DUMMYFUNCTION("""COMPUTED_VALUE"""),44420.357662037)</f>
        <v>44420.357662037</v>
      </c>
    </row>
    <row r="93" spans="1:35" ht="13" x14ac:dyDescent="0.15">
      <c r="A93">
        <f ca="1">IFERROR(__xludf.DUMMYFUNCTION("""COMPUTED_VALUE"""),395)</f>
        <v>395</v>
      </c>
      <c r="B93" t="str">
        <f ca="1">IFERROR(__xludf.DUMMYFUNCTION("""COMPUTED_VALUE"""),"Лидер")</f>
        <v>Лидер</v>
      </c>
      <c r="C93" t="str">
        <f ca="1">IFERROR(__xludf.DUMMYFUNCTION("""COMPUTED_VALUE"""),"АЛЬФА ГРУПП КИЕВ")</f>
        <v>АЛЬФА ГРУПП КИЕВ</v>
      </c>
      <c r="D93">
        <f ca="1">IFERROR(__xludf.DUMMYFUNCTION("""COMPUTED_VALUE"""),64057953)</f>
        <v>64057953</v>
      </c>
      <c r="E93" t="str">
        <f ca="1">IFERROR(__xludf.DUMMYFUNCTION("""COMPUTED_VALUE"""),"60 ПОЛУВАГОНЫ")</f>
        <v>60 ПОЛУВАГОНЫ</v>
      </c>
      <c r="F93">
        <f ca="1">IFERROR(__xludf.DUMMYFUNCTION("""COMPUTED_VALUE"""),42103)</f>
        <v>42103</v>
      </c>
      <c r="G93" t="str">
        <f ca="1">IFERROR(__xludf.DUMMYFUNCTION("""COMPUTED_VALUE"""),"ВАГОНЫ ЖД СВ")</f>
        <v>ВАГОНЫ ЖД СВ</v>
      </c>
      <c r="H93">
        <f ca="1">IFERROR(__xludf.DUMMYFUNCTION("""COMPUTED_VALUE"""),0)</f>
        <v>0</v>
      </c>
      <c r="I93">
        <f ca="1">IFERROR(__xludf.DUMMYFUNCTION("""COMPUTED_VALUE"""),3437)</f>
        <v>3437</v>
      </c>
      <c r="J93" t="str">
        <f ca="1">IFERROR(__xludf.DUMMYFUNCTION("""COMPUTED_VALUE"""),"2434 (43000-226-32000) КУПЯНСК-СОРТ - ДАРНИЦА")</f>
        <v>2434 (43000-226-32000) КУПЯНСК-СОРТ - ДАРНИЦА</v>
      </c>
      <c r="K93">
        <f ca="1">IFERROR(__xludf.DUMMYFUNCTION("""COMPUTED_VALUE"""),44020)</f>
        <v>44020</v>
      </c>
      <c r="L93" t="str">
        <f ca="1">IFERROR(__xludf.DUMMYFUNCTION("""COMPUTED_VALUE"""),"ОСНОВА")</f>
        <v>ОСНОВА</v>
      </c>
      <c r="M93" t="str">
        <f ca="1">IFERROR(__xludf.DUMMYFUNCTION("""COMPUTED_VALUE"""),"12.08.21 07-25")</f>
        <v>12.08.21 07-25</v>
      </c>
      <c r="N93" t="str">
        <f ca="1">IFERROR(__xludf.DUMMYFUNCTION("""COMPUTED_VALUE"""),"51 ПРИБ")</f>
        <v>51 ПРИБ</v>
      </c>
      <c r="O93">
        <f ca="1">IFERROR(__xludf.DUMMYFUNCTION("""COMPUTED_VALUE"""),34750)</f>
        <v>34750</v>
      </c>
      <c r="P93" t="str">
        <f ca="1">IFERROR(__xludf.DUMMYFUNCTION("""COMPUTED_VALUE"""),"ПЕНИЗЕВИЧИ")</f>
        <v>ПЕНИЗЕВИЧИ</v>
      </c>
      <c r="Q93">
        <f ca="1">IFERROR(__xludf.DUMMYFUNCTION("""COMPUTED_VALUE"""),49870)</f>
        <v>49870</v>
      </c>
      <c r="R93" t="str">
        <f ca="1">IFERROR(__xludf.DUMMYFUNCTION("""COMPUTED_VALUE"""),"РУБЕЖНОЕ")</f>
        <v>РУБЕЖНОЕ</v>
      </c>
      <c r="S93" t="str">
        <f ca="1">IFERROR(__xludf.DUMMYFUNCTION("""COMPUTED_VALUE"""),"09.08.21 12-30")</f>
        <v>09.08.21 12-30</v>
      </c>
      <c r="T93">
        <f ca="1">IFERROR(__xludf.DUMMYFUNCTION("""COMPUTED_VALUE"""),2992)</f>
        <v>2992</v>
      </c>
      <c r="U93" t="str">
        <f ca="1">IFERROR(__xludf.DUMMYFUNCTION("""COMPUTED_VALUE"""),"18.03.2022 ДР")</f>
        <v>18.03.2022 ДР</v>
      </c>
      <c r="Z93" t="str">
        <f ca="1">IFERROR(__xludf.DUMMYFUNCTION("""COMPUTED_VALUE"""),"ПАО «ПУМБ»")</f>
        <v>ПАО «ПУМБ»</v>
      </c>
      <c r="AA93" t="str">
        <f ca="1">IFERROR(__xludf.DUMMYFUNCTION("""COMPUTED_VALUE"""),"12-9745")</f>
        <v>12-9745</v>
      </c>
      <c r="AB93" t="str">
        <f ca="1">IFERROR(__xludf.DUMMYFUNCTION("""COMPUTED_VALUE"""),"45 ПРИДН")</f>
        <v>45 ПРИДН</v>
      </c>
      <c r="AC93" t="str">
        <f ca="1">IFERROR(__xludf.DUMMYFUNCTION("""COMPUTED_VALUE"""),"47660 ДНЕПРОРУДНАЯ")</f>
        <v>47660 ДНЕПРОРУДНАЯ</v>
      </c>
      <c r="AD93" t="str">
        <f ca="1">IFERROR(__xludf.DUMMYFUNCTION("""COMPUTED_VALUE"""),"12.03.21 15-00")</f>
        <v>12.03.21 15-00</v>
      </c>
      <c r="AE93" t="str">
        <f ca="1">IFERROR(__xludf.DUMMYFUNCTION("""COMPUTED_VALUE"""),"540 НEИCПPAВНOCТЬ ЗAПOPA ЛЮКA")</f>
        <v>540 НEИCПPAВНOCТЬ ЗAПOPA ЛЮКA</v>
      </c>
      <c r="AF93" t="str">
        <f ca="1">IFERROR(__xludf.DUMMYFUNCTION("""COMPUTED_VALUE"""),"45 ПРИДН")</f>
        <v>45 ПРИДН</v>
      </c>
      <c r="AG93" t="str">
        <f ca="1">IFERROR(__xludf.DUMMYFUNCTION("""COMPUTED_VALUE"""),"47660 ДНЕПРОРУДНАЯ")</f>
        <v>47660 ДНЕПРОРУДНАЯ</v>
      </c>
      <c r="AH93" t="str">
        <f ca="1">IFERROR(__xludf.DUMMYFUNCTION("""COMPUTED_VALUE"""),"13.03.21 06-00")</f>
        <v>13.03.21 06-00</v>
      </c>
      <c r="AI93" s="21">
        <f ca="1">IFERROR(__xludf.DUMMYFUNCTION("""COMPUTED_VALUE"""),44420.357662037)</f>
        <v>44420.357662037</v>
      </c>
    </row>
    <row r="94" spans="1:35" ht="13" x14ac:dyDescent="0.15">
      <c r="A94">
        <f ca="1">IFERROR(__xludf.DUMMYFUNCTION("""COMPUTED_VALUE"""),396)</f>
        <v>396</v>
      </c>
      <c r="B94" t="str">
        <f ca="1">IFERROR(__xludf.DUMMYFUNCTION("""COMPUTED_VALUE"""),"Техрейс")</f>
        <v>Техрейс</v>
      </c>
      <c r="C94" t="str">
        <f ca="1">IFERROR(__xludf.DUMMYFUNCTION("""COMPUTED_VALUE"""),"АЛЬФА ГРУПП КИЕВ")</f>
        <v>АЛЬФА ГРУПП КИЕВ</v>
      </c>
      <c r="D94">
        <f ca="1">IFERROR(__xludf.DUMMYFUNCTION("""COMPUTED_VALUE"""),64057979)</f>
        <v>64057979</v>
      </c>
      <c r="E94" t="str">
        <f ca="1">IFERROR(__xludf.DUMMYFUNCTION("""COMPUTED_VALUE"""),"60 ПОЛУВАГОНЫ")</f>
        <v>60 ПОЛУВАГОНЫ</v>
      </c>
      <c r="F94">
        <f ca="1">IFERROR(__xludf.DUMMYFUNCTION("""COMPUTED_VALUE"""),69227)</f>
        <v>69227</v>
      </c>
      <c r="G94" t="str">
        <f ca="1">IFERROR(__xludf.DUMMYFUNCTION("""COMPUTED_VALUE"""),"УТИЛЬ-СЫРЬЕ ПР")</f>
        <v>УТИЛЬ-СЫРЬЕ ПР</v>
      </c>
      <c r="H94">
        <f ca="1">IFERROR(__xludf.DUMMYFUNCTION("""COMPUTED_VALUE"""),67)</f>
        <v>67</v>
      </c>
      <c r="I94">
        <f ca="1">IFERROR(__xludf.DUMMYFUNCTION("""COMPUTED_VALUE"""),2914)</f>
        <v>2914</v>
      </c>
      <c r="J94" t="str">
        <f ca="1">IFERROR(__xludf.DUMMYFUNCTION("""COMPUTED_VALUE"""),"3576 (32090-012-32000) НОВЫЕ БЕЗР - ДАРНИЦА")</f>
        <v>3576 (32090-012-32000) НОВЫЕ БЕЗР - ДАРНИЦА</v>
      </c>
      <c r="K94">
        <f ca="1">IFERROR(__xludf.DUMMYFUNCTION("""COMPUTED_VALUE"""),32090)</f>
        <v>32090</v>
      </c>
      <c r="L94" t="str">
        <f ca="1">IFERROR(__xludf.DUMMYFUNCTION("""COMPUTED_VALUE"""),"НОВЫЕ БЕЗР")</f>
        <v>НОВЫЕ БЕЗР</v>
      </c>
      <c r="M94" t="str">
        <f ca="1">IFERROR(__xludf.DUMMYFUNCTION("""COMPUTED_VALUE"""),"11.08.21 16-34")</f>
        <v>11.08.21 16-34</v>
      </c>
      <c r="N94" t="str">
        <f ca="1">IFERROR(__xludf.DUMMYFUNCTION("""COMPUTED_VALUE"""),"05 ФОРМ")</f>
        <v>05 ФОРМ</v>
      </c>
      <c r="O94">
        <f ca="1">IFERROR(__xludf.DUMMYFUNCTION("""COMPUTED_VALUE"""),44560)</f>
        <v>44560</v>
      </c>
      <c r="P94" t="str">
        <f ca="1">IFERROR(__xludf.DUMMYFUNCTION("""COMPUTED_VALUE"""),"БАСЫ")</f>
        <v>БАСЫ</v>
      </c>
      <c r="Q94">
        <f ca="1">IFERROR(__xludf.DUMMYFUNCTION("""COMPUTED_VALUE"""),32090)</f>
        <v>32090</v>
      </c>
      <c r="R94" t="str">
        <f ca="1">IFERROR(__xludf.DUMMYFUNCTION("""COMPUTED_VALUE"""),"НОВЫЕ БЕЗР")</f>
        <v>НОВЫЕ БЕЗР</v>
      </c>
      <c r="S94" t="str">
        <f ca="1">IFERROR(__xludf.DUMMYFUNCTION("""COMPUTED_VALUE"""),"10.08.21 02-00")</f>
        <v>10.08.21 02-00</v>
      </c>
      <c r="T94">
        <f ca="1">IFERROR(__xludf.DUMMYFUNCTION("""COMPUTED_VALUE"""),2123)</f>
        <v>2123</v>
      </c>
      <c r="U94" t="str">
        <f ca="1">IFERROR(__xludf.DUMMYFUNCTION("""COMPUTED_VALUE"""),"18.03.2022 ДР")</f>
        <v>18.03.2022 ДР</v>
      </c>
      <c r="Z94" t="str">
        <f ca="1">IFERROR(__xludf.DUMMYFUNCTION("""COMPUTED_VALUE"""),"ПАО «ПУМБ»")</f>
        <v>ПАО «ПУМБ»</v>
      </c>
      <c r="AA94" t="str">
        <f ca="1">IFERROR(__xludf.DUMMYFUNCTION("""COMPUTED_VALUE"""),"12-9745")</f>
        <v>12-9745</v>
      </c>
      <c r="AB94" t="str">
        <f ca="1">IFERROR(__xludf.DUMMYFUNCTION("""COMPUTED_VALUE"""),"32 Ю-ЗАП")</f>
        <v>32 Ю-ЗАП</v>
      </c>
      <c r="AC94" t="str">
        <f ca="1">IFERROR(__xludf.DUMMYFUNCTION("""COMPUTED_VALUE"""),"32000 ДАРНИЦА")</f>
        <v>32000 ДАРНИЦА</v>
      </c>
      <c r="AD94" t="str">
        <f ca="1">IFERROR(__xludf.DUMMYFUNCTION("""COMPUTED_VALUE"""),"23.07.21 09-36")</f>
        <v>23.07.21 09-36</v>
      </c>
      <c r="AE94" t="str">
        <f ca="1">IFERROR(__xludf.DUMMYFUNCTION("""COMPUTED_VALUE"""),"100")</f>
        <v>100</v>
      </c>
      <c r="AF94" t="str">
        <f ca="1">IFERROR(__xludf.DUMMYFUNCTION("""COMPUTED_VALUE"""),"32 Ю-ЗАП")</f>
        <v>32 Ю-ЗАП</v>
      </c>
      <c r="AG94" t="str">
        <f ca="1">IFERROR(__xludf.DUMMYFUNCTION("""COMPUTED_VALUE"""),"32000 ДАРНИЦА")</f>
        <v>32000 ДАРНИЦА</v>
      </c>
      <c r="AH94" t="str">
        <f ca="1">IFERROR(__xludf.DUMMYFUNCTION("""COMPUTED_VALUE"""),"30.07.21 14-20")</f>
        <v>30.07.21 14-20</v>
      </c>
      <c r="AI94" s="21">
        <f ca="1">IFERROR(__xludf.DUMMYFUNCTION("""COMPUTED_VALUE"""),44420.357662037)</f>
        <v>44420.357662037</v>
      </c>
    </row>
    <row r="95" spans="1:35" ht="13" x14ac:dyDescent="0.15">
      <c r="A95">
        <f ca="1">IFERROR(__xludf.DUMMYFUNCTION("""COMPUTED_VALUE"""),397)</f>
        <v>397</v>
      </c>
      <c r="B95" t="str">
        <f ca="1">IFERROR(__xludf.DUMMYFUNCTION("""COMPUTED_VALUE"""),"Подольский цемент")</f>
        <v>Подольский цемент</v>
      </c>
      <c r="C95" t="str">
        <f ca="1">IFERROR(__xludf.DUMMYFUNCTION("""COMPUTED_VALUE"""),"АЛЬФА ГРУПП КИЕВ")</f>
        <v>АЛЬФА ГРУПП КИЕВ</v>
      </c>
      <c r="D95">
        <f ca="1">IFERROR(__xludf.DUMMYFUNCTION("""COMPUTED_VALUE"""),64057961)</f>
        <v>64057961</v>
      </c>
      <c r="E95" t="str">
        <f ca="1">IFERROR(__xludf.DUMMYFUNCTION("""COMPUTED_VALUE"""),"60 ПОЛУВАГОНЫ")</f>
        <v>60 ПОЛУВАГОНЫ</v>
      </c>
      <c r="F95">
        <f ca="1">IFERROR(__xludf.DUMMYFUNCTION("""COMPUTED_VALUE"""),42103)</f>
        <v>42103</v>
      </c>
      <c r="G95" t="str">
        <f ca="1">IFERROR(__xludf.DUMMYFUNCTION("""COMPUTED_VALUE"""),"ВАГОНЫ ЖД СВ")</f>
        <v>ВАГОНЫ ЖД СВ</v>
      </c>
      <c r="H95">
        <f ca="1">IFERROR(__xludf.DUMMYFUNCTION("""COMPUTED_VALUE"""),0)</f>
        <v>0</v>
      </c>
      <c r="I95">
        <f ca="1">IFERROR(__xludf.DUMMYFUNCTION("""COMPUTED_VALUE"""),973)</f>
        <v>973</v>
      </c>
      <c r="J95" t="str">
        <f ca="1">IFERROR(__xludf.DUMMYFUNCTION("""COMPUTED_VALUE"""),"3001 (40510-303-40200) ОДЕССА-ЗАС I - ЧЕРНОМОРСК-П")</f>
        <v>3001 (40510-303-40200) ОДЕССА-ЗАС I - ЧЕРНОМОРСК-П</v>
      </c>
      <c r="K95">
        <f ca="1">IFERROR(__xludf.DUMMYFUNCTION("""COMPUTED_VALUE"""),40200)</f>
        <v>40200</v>
      </c>
      <c r="L95" t="str">
        <f ca="1">IFERROR(__xludf.DUMMYFUNCTION("""COMPUTED_VALUE"""),"ЧЕРНОМОРСК-П")</f>
        <v>ЧЕРНОМОРСК-П</v>
      </c>
      <c r="M95" t="str">
        <f ca="1">IFERROR(__xludf.DUMMYFUNCTION("""COMPUTED_VALUE"""),"11.08.21 13-01")</f>
        <v>11.08.21 13-01</v>
      </c>
      <c r="N95" t="str">
        <f ca="1">IFERROR(__xludf.DUMMYFUNCTION("""COMPUTED_VALUE"""),"85 ПРСТ")</f>
        <v>85 ПРСТ</v>
      </c>
      <c r="O95">
        <f ca="1">IFERROR(__xludf.DUMMYFUNCTION("""COMPUTED_VALUE"""),40200)</f>
        <v>40200</v>
      </c>
      <c r="P95" t="str">
        <f ca="1">IFERROR(__xludf.DUMMYFUNCTION("""COMPUTED_VALUE"""),"ЧЕРНОМОРСК-П")</f>
        <v>ЧЕРНОМОРСК-П</v>
      </c>
      <c r="Q95">
        <f ca="1">IFERROR(__xludf.DUMMYFUNCTION("""COMPUTED_VALUE"""),40510)</f>
        <v>40510</v>
      </c>
      <c r="R95" t="str">
        <f ca="1">IFERROR(__xludf.DUMMYFUNCTION("""COMPUTED_VALUE"""),"ОДЕССА-ЗАС I")</f>
        <v>ОДЕССА-ЗАС I</v>
      </c>
      <c r="S95" t="str">
        <f ca="1">IFERROR(__xludf.DUMMYFUNCTION("""COMPUTED_VALUE"""),"09.08.21 17-45")</f>
        <v>09.08.21 17-45</v>
      </c>
      <c r="T95">
        <f ca="1">IFERROR(__xludf.DUMMYFUNCTION("""COMPUTED_VALUE"""),1451)</f>
        <v>1451</v>
      </c>
      <c r="U95" t="str">
        <f ca="1">IFERROR(__xludf.DUMMYFUNCTION("""COMPUTED_VALUE"""),"18.03.2022 ДР")</f>
        <v>18.03.2022 ДР</v>
      </c>
      <c r="Z95" t="str">
        <f ca="1">IFERROR(__xludf.DUMMYFUNCTION("""COMPUTED_VALUE"""),"ПАО «ПУМБ»")</f>
        <v>ПАО «ПУМБ»</v>
      </c>
      <c r="AA95" t="str">
        <f ca="1">IFERROR(__xludf.DUMMYFUNCTION("""COMPUTED_VALUE"""),"12-9745")</f>
        <v>12-9745</v>
      </c>
      <c r="AB95" t="str">
        <f ca="1">IFERROR(__xludf.DUMMYFUNCTION("""COMPUTED_VALUE"""),"40 ОД")</f>
        <v>40 ОД</v>
      </c>
      <c r="AC95" t="str">
        <f ca="1">IFERROR(__xludf.DUMMYFUNCTION("""COMPUTED_VALUE"""),"40000 ОДЕССА-СОРТ")</f>
        <v>40000 ОДЕССА-СОРТ</v>
      </c>
      <c r="AD95" t="str">
        <f ca="1">IFERROR(__xludf.DUMMYFUNCTION("""COMPUTED_VALUE"""),"06.07.20 11-16")</f>
        <v>06.07.20 11-16</v>
      </c>
      <c r="AE95" t="str">
        <f ca="1">IFERROR(__xludf.DUMMYFUNCTION("""COMPUTED_VALUE"""),"401 НEИCПPAВНOCТЬ AВТOPEЖИМA И ЕГО ПPИВОДА")</f>
        <v>401 НEИCПPAВНOCТЬ AВТOPEЖИМA И ЕГО ПPИВОДА</v>
      </c>
      <c r="AF95" t="str">
        <f ca="1">IFERROR(__xludf.DUMMYFUNCTION("""COMPUTED_VALUE"""),"40 ОД")</f>
        <v>40 ОД</v>
      </c>
      <c r="AG95" t="str">
        <f ca="1">IFERROR(__xludf.DUMMYFUNCTION("""COMPUTED_VALUE"""),"40000 ОДЕССА-СОРТ")</f>
        <v>40000 ОДЕССА-СОРТ</v>
      </c>
      <c r="AH95" t="str">
        <f ca="1">IFERROR(__xludf.DUMMYFUNCTION("""COMPUTED_VALUE"""),"11.07.20 15-00")</f>
        <v>11.07.20 15-00</v>
      </c>
      <c r="AI95" s="21">
        <f ca="1">IFERROR(__xludf.DUMMYFUNCTION("""COMPUTED_VALUE"""),44420.357662037)</f>
        <v>44420.357662037</v>
      </c>
    </row>
    <row r="96" spans="1:35" ht="13" x14ac:dyDescent="0.15">
      <c r="A96">
        <f ca="1">IFERROR(__xludf.DUMMYFUNCTION("""COMPUTED_VALUE"""),398)</f>
        <v>398</v>
      </c>
      <c r="B96" t="str">
        <f ca="1">IFERROR(__xludf.DUMMYFUNCTION("""COMPUTED_VALUE"""),"Техрейс")</f>
        <v>Техрейс</v>
      </c>
      <c r="C96" t="str">
        <f ca="1">IFERROR(__xludf.DUMMYFUNCTION("""COMPUTED_VALUE"""),"АЛЬФА ГРУПП КИЕВ")</f>
        <v>АЛЬФА ГРУПП КИЕВ</v>
      </c>
      <c r="D96">
        <f ca="1">IFERROR(__xludf.DUMMYFUNCTION("""COMPUTED_VALUE"""),64058019)</f>
        <v>64058019</v>
      </c>
      <c r="E96" t="str">
        <f ca="1">IFERROR(__xludf.DUMMYFUNCTION("""COMPUTED_VALUE"""),"60 ПОЛУВАГОНЫ")</f>
        <v>60 ПОЛУВАГОНЫ</v>
      </c>
      <c r="F96">
        <f ca="1">IFERROR(__xludf.DUMMYFUNCTION("""COMPUTED_VALUE"""),42103)</f>
        <v>42103</v>
      </c>
      <c r="G96" t="str">
        <f ca="1">IFERROR(__xludf.DUMMYFUNCTION("""COMPUTED_VALUE"""),"ВАГОНЫ ЖД СВ")</f>
        <v>ВАГОНЫ ЖД СВ</v>
      </c>
      <c r="H96">
        <f ca="1">IFERROR(__xludf.DUMMYFUNCTION("""COMPUTED_VALUE"""),70)</f>
        <v>70</v>
      </c>
      <c r="I96">
        <f ca="1">IFERROR(__xludf.DUMMYFUNCTION("""COMPUTED_VALUE"""),1641)</f>
        <v>1641</v>
      </c>
      <c r="J96" t="str">
        <f ca="1">IFERROR(__xludf.DUMMYFUNCTION("""COMPUTED_VALUE"""),"3447 (36000-056-36470) ТЕРНОПОЛЬ - ЧЕРТКОВ")</f>
        <v>3447 (36000-056-36470) ТЕРНОПОЛЬ - ЧЕРТКОВ</v>
      </c>
      <c r="K96">
        <f ca="1">IFERROR(__xludf.DUMMYFUNCTION("""COMPUTED_VALUE"""),36310)</f>
        <v>36310</v>
      </c>
      <c r="L96" t="str">
        <f ca="1">IFERROR(__xludf.DUMMYFUNCTION("""COMPUTED_VALUE"""),"ХОРОСТКОВ")</f>
        <v>ХОРОСТКОВ</v>
      </c>
      <c r="M96" t="str">
        <f ca="1">IFERROR(__xludf.DUMMYFUNCTION("""COMPUTED_VALUE"""),"10.08.21 21-46")</f>
        <v>10.08.21 21-46</v>
      </c>
      <c r="N96" t="str">
        <f ca="1">IFERROR(__xludf.DUMMYFUNCTION("""COMPUTED_VALUE"""),"04 РАСФ")</f>
        <v>04 РАСФ</v>
      </c>
      <c r="O96">
        <f ca="1">IFERROR(__xludf.DUMMYFUNCTION("""COMPUTED_VALUE"""),36440)</f>
        <v>36440</v>
      </c>
      <c r="P96" t="str">
        <f ca="1">IFERROR(__xludf.DUMMYFUNCTION("""COMPUTED_VALUE"""),"БУЧАЧ")</f>
        <v>БУЧАЧ</v>
      </c>
      <c r="Q96">
        <f ca="1">IFERROR(__xludf.DUMMYFUNCTION("""COMPUTED_VALUE"""),49470)</f>
        <v>49470</v>
      </c>
      <c r="R96" t="str">
        <f ca="1">IFERROR(__xludf.DUMMYFUNCTION("""COMPUTED_VALUE"""),"ШЕВЧЕНКО")</f>
        <v>ШЕВЧЕНКО</v>
      </c>
      <c r="S96" t="str">
        <f ca="1">IFERROR(__xludf.DUMMYFUNCTION("""COMPUTED_VALUE"""),"29.07.21 17-25")</f>
        <v>29.07.21 17-25</v>
      </c>
      <c r="T96">
        <f ca="1">IFERROR(__xludf.DUMMYFUNCTION("""COMPUTED_VALUE"""),0)</f>
        <v>0</v>
      </c>
      <c r="U96" t="str">
        <f ca="1">IFERROR(__xludf.DUMMYFUNCTION("""COMPUTED_VALUE"""),"18.03.2022 ДР")</f>
        <v>18.03.2022 ДР</v>
      </c>
      <c r="Z96" t="str">
        <f ca="1">IFERROR(__xludf.DUMMYFUNCTION("""COMPUTED_VALUE"""),"ПАО «ПУМБ»")</f>
        <v>ПАО «ПУМБ»</v>
      </c>
      <c r="AA96" t="str">
        <f ca="1">IFERROR(__xludf.DUMMYFUNCTION("""COMPUTED_VALUE"""),"12-9745")</f>
        <v>12-9745</v>
      </c>
      <c r="AB96" t="str">
        <f ca="1">IFERROR(__xludf.DUMMYFUNCTION("""COMPUTED_VALUE"""),"35 ЛЬВ")</f>
        <v>35 ЛЬВ</v>
      </c>
      <c r="AC96" t="str">
        <f ca="1">IFERROR(__xludf.DUMMYFUNCTION("""COMPUTED_VALUE"""),"35000 ЗДОЛБУНОВ")</f>
        <v>35000 ЗДОЛБУНОВ</v>
      </c>
      <c r="AD96" t="str">
        <f ca="1">IFERROR(__xludf.DUMMYFUNCTION("""COMPUTED_VALUE"""),"09.05.21 17-00")</f>
        <v>09.05.21 17-00</v>
      </c>
      <c r="AE96" t="str">
        <f ca="1">IFERROR(__xludf.DUMMYFUNCTION("""COMPUTED_VALUE"""),"107 ВЫЩEPБИНА OБOДA КOЛECA")</f>
        <v>107 ВЫЩEPБИНА OБOДA КOЛECA</v>
      </c>
      <c r="AF96" t="str">
        <f ca="1">IFERROR(__xludf.DUMMYFUNCTION("""COMPUTED_VALUE"""),"35 ЛЬВ")</f>
        <v>35 ЛЬВ</v>
      </c>
      <c r="AG96" t="str">
        <f ca="1">IFERROR(__xludf.DUMMYFUNCTION("""COMPUTED_VALUE"""),"35000 ЗДОЛБУНОВ")</f>
        <v>35000 ЗДОЛБУНОВ</v>
      </c>
      <c r="AH96" t="str">
        <f ca="1">IFERROR(__xludf.DUMMYFUNCTION("""COMPUTED_VALUE"""),"15.06.21 17-00")</f>
        <v>15.06.21 17-00</v>
      </c>
      <c r="AI96" s="21">
        <f ca="1">IFERROR(__xludf.DUMMYFUNCTION("""COMPUTED_VALUE"""),44420.357662037)</f>
        <v>44420.357662037</v>
      </c>
    </row>
    <row r="97" spans="1:35" ht="13" x14ac:dyDescent="0.15">
      <c r="A97">
        <f ca="1">IFERROR(__xludf.DUMMYFUNCTION("""COMPUTED_VALUE"""),399)</f>
        <v>399</v>
      </c>
      <c r="B97" t="str">
        <f ca="1">IFERROR(__xludf.DUMMYFUNCTION("""COMPUTED_VALUE"""),"Ламан-Шипинг скраренда")</f>
        <v>Ламан-Шипинг скраренда</v>
      </c>
      <c r="C97" t="str">
        <f ca="1">IFERROR(__xludf.DUMMYFUNCTION("""COMPUTED_VALUE"""),"АЛЬФА ГРУПП КИЕВ")</f>
        <v>АЛЬФА ГРУПП КИЕВ</v>
      </c>
      <c r="D97">
        <f ca="1">IFERROR(__xludf.DUMMYFUNCTION("""COMPUTED_VALUE"""),64058027)</f>
        <v>64058027</v>
      </c>
      <c r="E97" t="str">
        <f ca="1">IFERROR(__xludf.DUMMYFUNCTION("""COMPUTED_VALUE"""),"60 ПОЛУВАГОНЫ")</f>
        <v>60 ПОЛУВАГОНЫ</v>
      </c>
      <c r="F97">
        <f ca="1">IFERROR(__xludf.DUMMYFUNCTION("""COMPUTED_VALUE"""),24151)</f>
        <v>24151</v>
      </c>
      <c r="G97" t="str">
        <f ca="1">IFERROR(__xludf.DUMMYFUNCTION("""COMPUTED_VALUE"""),"ПРОДУКТ ПОЛЕВОШ")</f>
        <v>ПРОДУКТ ПОЛЕВОШ</v>
      </c>
      <c r="H97">
        <f ca="1">IFERROR(__xludf.DUMMYFUNCTION("""COMPUTED_VALUE"""),69)</f>
        <v>69</v>
      </c>
      <c r="I97">
        <f ca="1">IFERROR(__xludf.DUMMYFUNCTION("""COMPUTED_VALUE"""),8223)</f>
        <v>8223</v>
      </c>
      <c r="J97" t="str">
        <f ca="1">IFERROR(__xludf.DUMMYFUNCTION("""COMPUTED_VALUE"""),"3601 (32000-629-32010) ДАРНИЦА - КИЕВ-ДЕМЕЕВС")</f>
        <v>3601 (32000-629-32010) ДАРНИЦА - КИЕВ-ДЕМЕЕВС</v>
      </c>
      <c r="K97">
        <f ca="1">IFERROR(__xludf.DUMMYFUNCTION("""COMPUTED_VALUE"""),32010)</f>
        <v>32010</v>
      </c>
      <c r="L97" t="str">
        <f ca="1">IFERROR(__xludf.DUMMYFUNCTION("""COMPUTED_VALUE"""),"КИЕВ-ДЕМЕЕВС")</f>
        <v>КИЕВ-ДЕМЕЕВС</v>
      </c>
      <c r="M97" t="str">
        <f ca="1">IFERROR(__xludf.DUMMYFUNCTION("""COMPUTED_VALUE"""),"10.08.21 08-50")</f>
        <v>10.08.21 08-50</v>
      </c>
      <c r="N97" t="str">
        <f ca="1">IFERROR(__xludf.DUMMYFUNCTION("""COMPUTED_VALUE"""),"21 ВЫГ2")</f>
        <v>21 ВЫГ2</v>
      </c>
      <c r="O97">
        <f ca="1">IFERROR(__xludf.DUMMYFUNCTION("""COMPUTED_VALUE"""),32010)</f>
        <v>32010</v>
      </c>
      <c r="P97" t="str">
        <f ca="1">IFERROR(__xludf.DUMMYFUNCTION("""COMPUTED_VALUE"""),"КИЕВ-ДЕМЕЕВС")</f>
        <v>КИЕВ-ДЕМЕЕВС</v>
      </c>
      <c r="Q97">
        <f ca="1">IFERROR(__xludf.DUMMYFUNCTION("""COMPUTED_VALUE"""),34170)</f>
        <v>34170</v>
      </c>
      <c r="R97" t="str">
        <f ca="1">IFERROR(__xludf.DUMMYFUNCTION("""COMPUTED_VALUE"""),"ПОЛОННОЕ")</f>
        <v>ПОЛОННОЕ</v>
      </c>
      <c r="S97" t="str">
        <f ca="1">IFERROR(__xludf.DUMMYFUNCTION("""COMPUTED_VALUE"""),"07.08.21 17-45")</f>
        <v>07.08.21 17-45</v>
      </c>
      <c r="U97" t="str">
        <f ca="1">IFERROR(__xludf.DUMMYFUNCTION("""COMPUTED_VALUE"""),"18.03.2022 ДР")</f>
        <v>18.03.2022 ДР</v>
      </c>
      <c r="Z97" t="str">
        <f ca="1">IFERROR(__xludf.DUMMYFUNCTION("""COMPUTED_VALUE"""),"ПАО «ПУМБ»")</f>
        <v>ПАО «ПУМБ»</v>
      </c>
      <c r="AA97" t="str">
        <f ca="1">IFERROR(__xludf.DUMMYFUNCTION("""COMPUTED_VALUE"""),"12-9745")</f>
        <v>12-9745</v>
      </c>
      <c r="AB97" t="str">
        <f ca="1">IFERROR(__xludf.DUMMYFUNCTION("""COMPUTED_VALUE"""),"32 Ю-ЗАП")</f>
        <v>32 Ю-ЗАП</v>
      </c>
      <c r="AC97" t="str">
        <f ca="1">IFERROR(__xludf.DUMMYFUNCTION("""COMPUTED_VALUE"""),"34750 ПЕНИЗЕВИЧИ")</f>
        <v>34750 ПЕНИЗЕВИЧИ</v>
      </c>
      <c r="AD97" t="str">
        <f ca="1">IFERROR(__xludf.DUMMYFUNCTION("""COMPUTED_VALUE"""),"02.10.20 13-40")</f>
        <v>02.10.20 13-40</v>
      </c>
      <c r="AE97" t="str">
        <f ca="1">IFERROR(__xludf.DUMMYFUNCTION("""COMPUTED_VALUE"""),"448 НEИCПPAВНOCТЬ РУЧНОГО CТOЯНOЧНОГО ТOPМOЗA")</f>
        <v>448 НEИCПPAВНOCТЬ РУЧНОГО CТOЯНOЧНОГО ТOPМOЗA</v>
      </c>
      <c r="AF97" t="str">
        <f ca="1">IFERROR(__xludf.DUMMYFUNCTION("""COMPUTED_VALUE"""),"32 Ю-ЗАП")</f>
        <v>32 Ю-ЗАП</v>
      </c>
      <c r="AG97" t="str">
        <f ca="1">IFERROR(__xludf.DUMMYFUNCTION("""COMPUTED_VALUE"""),"34750 ПЕНИЗЕВИЧИ")</f>
        <v>34750 ПЕНИЗЕВИЧИ</v>
      </c>
      <c r="AH97" t="str">
        <f ca="1">IFERROR(__xludf.DUMMYFUNCTION("""COMPUTED_VALUE"""),"06.10.20 15-20")</f>
        <v>06.10.20 15-20</v>
      </c>
      <c r="AI97" s="21">
        <f ca="1">IFERROR(__xludf.DUMMYFUNCTION("""COMPUTED_VALUE"""),44420.357662037)</f>
        <v>44420.357662037</v>
      </c>
    </row>
    <row r="98" spans="1:35" ht="13" x14ac:dyDescent="0.15">
      <c r="A98">
        <f ca="1">IFERROR(__xludf.DUMMYFUNCTION("""COMPUTED_VALUE"""),400)</f>
        <v>400</v>
      </c>
      <c r="B98" t="str">
        <f ca="1">IFERROR(__xludf.DUMMYFUNCTION("""COMPUTED_VALUE"""),"Техрейс")</f>
        <v>Техрейс</v>
      </c>
      <c r="C98" t="str">
        <f ca="1">IFERROR(__xludf.DUMMYFUNCTION("""COMPUTED_VALUE"""),"АЛЬФА ГРУПП КИЕВ")</f>
        <v>АЛЬФА ГРУПП КИЕВ</v>
      </c>
      <c r="D98">
        <f ca="1">IFERROR(__xludf.DUMMYFUNCTION("""COMPUTED_VALUE"""),64058035)</f>
        <v>64058035</v>
      </c>
      <c r="E98" t="str">
        <f ca="1">IFERROR(__xludf.DUMMYFUNCTION("""COMPUTED_VALUE"""),"60 ПОЛУВАГОНЫ")</f>
        <v>60 ПОЛУВАГОНЫ</v>
      </c>
      <c r="F98">
        <f ca="1">IFERROR(__xludf.DUMMYFUNCTION("""COMPUTED_VALUE"""),14109)</f>
        <v>14109</v>
      </c>
      <c r="G98" t="str">
        <f ca="1">IFERROR(__xludf.DUMMYFUNCTION("""COMPUTED_VALUE"""),"ГЕМАТИТ")</f>
        <v>ГЕМАТИТ</v>
      </c>
      <c r="H98">
        <f ca="1">IFERROR(__xludf.DUMMYFUNCTION("""COMPUTED_VALUE"""),70)</f>
        <v>70</v>
      </c>
      <c r="I98">
        <f ca="1">IFERROR(__xludf.DUMMYFUNCTION("""COMPUTED_VALUE"""),5786)</f>
        <v>5786</v>
      </c>
      <c r="J98" t="str">
        <f ca="1">IFERROR(__xludf.DUMMYFUNCTION("""COMPUTED_VALUE"""),"2001 (40050-082-46720) БЕРЕГОВАЯ - КРИВОЙ РОГ")</f>
        <v>2001 (40050-082-46720) БЕРЕГОВАЯ - КРИВОЙ РОГ</v>
      </c>
      <c r="K98">
        <f ca="1">IFERROR(__xludf.DUMMYFUNCTION("""COMPUTED_VALUE"""),40050)</f>
        <v>40050</v>
      </c>
      <c r="L98" t="str">
        <f ca="1">IFERROR(__xludf.DUMMYFUNCTION("""COMPUTED_VALUE"""),"БЕРЕГОВАЯ")</f>
        <v>БЕРЕГОВАЯ</v>
      </c>
      <c r="M98" t="str">
        <f ca="1">IFERROR(__xludf.DUMMYFUNCTION("""COMPUTED_VALUE"""),"12.08.21 02-50")</f>
        <v>12.08.21 02-50</v>
      </c>
      <c r="N98" t="str">
        <f ca="1">IFERROR(__xludf.DUMMYFUNCTION("""COMPUTED_VALUE"""),"21 ВЫГ2")</f>
        <v>21 ВЫГ2</v>
      </c>
      <c r="O98">
        <f ca="1">IFERROR(__xludf.DUMMYFUNCTION("""COMPUTED_VALUE"""),40060)</f>
        <v>40060</v>
      </c>
      <c r="P98" t="str">
        <f ca="1">IFERROR(__xludf.DUMMYFUNCTION("""COMPUTED_VALUE"""),"БЕРЕГОВАЯ-Э")</f>
        <v>БЕРЕГОВАЯ-Э</v>
      </c>
      <c r="Q98">
        <f ca="1">IFERROR(__xludf.DUMMYFUNCTION("""COMPUTED_VALUE"""),46720)</f>
        <v>46720</v>
      </c>
      <c r="R98" t="str">
        <f ca="1">IFERROR(__xludf.DUMMYFUNCTION("""COMPUTED_VALUE"""),"КРИВОЙ РОГ")</f>
        <v>КРИВОЙ РОГ</v>
      </c>
      <c r="S98" t="str">
        <f ca="1">IFERROR(__xludf.DUMMYFUNCTION("""COMPUTED_VALUE"""),"07.08.21 15-30")</f>
        <v>07.08.21 15-30</v>
      </c>
      <c r="U98" t="str">
        <f ca="1">IFERROR(__xludf.DUMMYFUNCTION("""COMPUTED_VALUE"""),"18.03.2022 ДР")</f>
        <v>18.03.2022 ДР</v>
      </c>
      <c r="Z98" t="str">
        <f ca="1">IFERROR(__xludf.DUMMYFUNCTION("""COMPUTED_VALUE"""),"ПАО «ПУМБ»")</f>
        <v>ПАО «ПУМБ»</v>
      </c>
      <c r="AA98" t="str">
        <f ca="1">IFERROR(__xludf.DUMMYFUNCTION("""COMPUTED_VALUE"""),"12-9745")</f>
        <v>12-9745</v>
      </c>
      <c r="AI98" s="21">
        <f ca="1">IFERROR(__xludf.DUMMYFUNCTION("""COMPUTED_VALUE"""),44420.357662037)</f>
        <v>44420.357662037</v>
      </c>
    </row>
    <row r="99" spans="1:35" ht="13" x14ac:dyDescent="0.15">
      <c r="A99">
        <f ca="1">IFERROR(__xludf.DUMMYFUNCTION("""COMPUTED_VALUE"""),401)</f>
        <v>401</v>
      </c>
      <c r="B99" t="str">
        <f ca="1">IFERROR(__xludf.DUMMYFUNCTION("""COMPUTED_VALUE"""),"Подольский цемент")</f>
        <v>Подольский цемент</v>
      </c>
      <c r="C99" t="str">
        <f ca="1">IFERROR(__xludf.DUMMYFUNCTION("""COMPUTED_VALUE"""),"АЛЬФА ГРУПП КИЕВ")</f>
        <v>АЛЬФА ГРУПП КИЕВ</v>
      </c>
      <c r="D99">
        <f ca="1">IFERROR(__xludf.DUMMYFUNCTION("""COMPUTED_VALUE"""),64058050)</f>
        <v>64058050</v>
      </c>
      <c r="E99" t="str">
        <f ca="1">IFERROR(__xludf.DUMMYFUNCTION("""COMPUTED_VALUE"""),"60 ПОЛУВАГОНЫ")</f>
        <v>60 ПОЛУВАГОНЫ</v>
      </c>
      <c r="F99">
        <f ca="1">IFERROR(__xludf.DUMMYFUNCTION("""COMPUTED_VALUE"""),42103)</f>
        <v>42103</v>
      </c>
      <c r="G99" t="str">
        <f ca="1">IFERROR(__xludf.DUMMYFUNCTION("""COMPUTED_VALUE"""),"ВАГОНЫ ЖД СВ")</f>
        <v>ВАГОНЫ ЖД СВ</v>
      </c>
      <c r="H99">
        <f ca="1">IFERROR(__xludf.DUMMYFUNCTION("""COMPUTED_VALUE"""),0)</f>
        <v>0</v>
      </c>
      <c r="I99">
        <f ca="1">IFERROR(__xludf.DUMMYFUNCTION("""COMPUTED_VALUE"""),5268)</f>
        <v>5268</v>
      </c>
      <c r="J99" t="str">
        <f ca="1">IFERROR(__xludf.DUMMYFUNCTION("""COMPUTED_VALUE"""),"9511 (33300-056-37780) ГУМЕНЦЫ - НИКОЛАЕВ-ДН")</f>
        <v>9511 (33300-056-37780) ГУМЕНЦЫ - НИКОЛАЕВ-ДН</v>
      </c>
      <c r="K99">
        <f ca="1">IFERROR(__xludf.DUMMYFUNCTION("""COMPUTED_VALUE"""),37780)</f>
        <v>37780</v>
      </c>
      <c r="L99" t="str">
        <f ca="1">IFERROR(__xludf.DUMMYFUNCTION("""COMPUTED_VALUE"""),"НИКОЛАЕВ-ДН")</f>
        <v>НИКОЛАЕВ-ДН</v>
      </c>
      <c r="M99" t="str">
        <f ca="1">IFERROR(__xludf.DUMMYFUNCTION("""COMPUTED_VALUE"""),"10.08.21 09-00")</f>
        <v>10.08.21 09-00</v>
      </c>
      <c r="N99" t="str">
        <f ca="1">IFERROR(__xludf.DUMMYFUNCTION("""COMPUTED_VALUE"""),"91 ПРДР")</f>
        <v>91 ПРДР</v>
      </c>
      <c r="O99">
        <f ca="1">IFERROR(__xludf.DUMMYFUNCTION("""COMPUTED_VALUE"""),33300)</f>
        <v>33300</v>
      </c>
      <c r="P99" t="str">
        <f ca="1">IFERROR(__xludf.DUMMYFUNCTION("""COMPUTED_VALUE"""),"ГУМЕНЦЫ")</f>
        <v>ГУМЕНЦЫ</v>
      </c>
      <c r="Q99">
        <f ca="1">IFERROR(__xludf.DUMMYFUNCTION("""COMPUTED_VALUE"""),37780)</f>
        <v>37780</v>
      </c>
      <c r="R99" t="str">
        <f ca="1">IFERROR(__xludf.DUMMYFUNCTION("""COMPUTED_VALUE"""),"НИКОЛАЕВ-ДН")</f>
        <v>НИКОЛАЕВ-ДН</v>
      </c>
      <c r="S99" t="str">
        <f ca="1">IFERROR(__xludf.DUMMYFUNCTION("""COMPUTED_VALUE"""),"10.08.21 09-00")</f>
        <v>10.08.21 09-00</v>
      </c>
      <c r="T99">
        <f ca="1">IFERROR(__xludf.DUMMYFUNCTION("""COMPUTED_VALUE"""),1489)</f>
        <v>1489</v>
      </c>
      <c r="U99" t="str">
        <f ca="1">IFERROR(__xludf.DUMMYFUNCTION("""COMPUTED_VALUE"""),"18.03.2022 ДР")</f>
        <v>18.03.2022 ДР</v>
      </c>
      <c r="Z99" t="str">
        <f ca="1">IFERROR(__xludf.DUMMYFUNCTION("""COMPUTED_VALUE"""),"ПАО «ПУМБ»")</f>
        <v>ПАО «ПУМБ»</v>
      </c>
      <c r="AA99" t="str">
        <f ca="1">IFERROR(__xludf.DUMMYFUNCTION("""COMPUTED_VALUE"""),"12-9745")</f>
        <v>12-9745</v>
      </c>
      <c r="AI99" s="21">
        <f ca="1">IFERROR(__xludf.DUMMYFUNCTION("""COMPUTED_VALUE"""),44420.357662037)</f>
        <v>44420.357662037</v>
      </c>
    </row>
    <row r="100" spans="1:35" ht="13" x14ac:dyDescent="0.15">
      <c r="A100">
        <f ca="1">IFERROR(__xludf.DUMMYFUNCTION("""COMPUTED_VALUE"""),402)</f>
        <v>402</v>
      </c>
      <c r="B100" t="str">
        <f ca="1">IFERROR(__xludf.DUMMYFUNCTION("""COMPUTED_VALUE"""),"Техрейс")</f>
        <v>Техрейс</v>
      </c>
      <c r="C100" t="str">
        <f ca="1">IFERROR(__xludf.DUMMYFUNCTION("""COMPUTED_VALUE"""),"АЛЬФА ГРУПП КИЕВ")</f>
        <v>АЛЬФА ГРУПП КИЕВ</v>
      </c>
      <c r="D100">
        <f ca="1">IFERROR(__xludf.DUMMYFUNCTION("""COMPUTED_VALUE"""),64058068)</f>
        <v>64058068</v>
      </c>
      <c r="E100" t="str">
        <f ca="1">IFERROR(__xludf.DUMMYFUNCTION("""COMPUTED_VALUE"""),"60 ПОЛУВАГОНЫ")</f>
        <v>60 ПОЛУВАГОНЫ</v>
      </c>
      <c r="F100">
        <f ca="1">IFERROR(__xludf.DUMMYFUNCTION("""COMPUTED_VALUE"""),14109)</f>
        <v>14109</v>
      </c>
      <c r="G100" t="str">
        <f ca="1">IFERROR(__xludf.DUMMYFUNCTION("""COMPUTED_VALUE"""),"ГЕМАТИТ")</f>
        <v>ГЕМАТИТ</v>
      </c>
      <c r="H100">
        <f ca="1">IFERROR(__xludf.DUMMYFUNCTION("""COMPUTED_VALUE"""),70)</f>
        <v>70</v>
      </c>
      <c r="I100">
        <f ca="1">IFERROR(__xludf.DUMMYFUNCTION("""COMPUTED_VALUE"""),5786)</f>
        <v>5786</v>
      </c>
      <c r="J100" t="str">
        <f ca="1">IFERROR(__xludf.DUMMYFUNCTION("""COMPUTED_VALUE"""),"1615 (46720-457-40060) КРИВОЙ РОГ - БЕРЕГОВАЯ-Э")</f>
        <v>1615 (46720-457-40060) КРИВОЙ РОГ - БЕРЕГОВАЯ-Э</v>
      </c>
      <c r="K100">
        <f ca="1">IFERROR(__xludf.DUMMYFUNCTION("""COMPUTED_VALUE"""),46800)</f>
        <v>46800</v>
      </c>
      <c r="L100" t="str">
        <f ca="1">IFERROR(__xludf.DUMMYFUNCTION("""COMPUTED_VALUE"""),"ВИСУНЬ")</f>
        <v>ВИСУНЬ</v>
      </c>
      <c r="M100" t="str">
        <f ca="1">IFERROR(__xludf.DUMMYFUNCTION("""COMPUTED_VALUE"""),"12.08.21 08-15")</f>
        <v>12.08.21 08-15</v>
      </c>
      <c r="N100" t="str">
        <f ca="1">IFERROR(__xludf.DUMMYFUNCTION("""COMPUTED_VALUE"""),"02 ОТПР")</f>
        <v>02 ОТПР</v>
      </c>
      <c r="O100">
        <f ca="1">IFERROR(__xludf.DUMMYFUNCTION("""COMPUTED_VALUE"""),40060)</f>
        <v>40060</v>
      </c>
      <c r="P100" t="str">
        <f ca="1">IFERROR(__xludf.DUMMYFUNCTION("""COMPUTED_VALUE"""),"БЕРЕГОВАЯ-Э")</f>
        <v>БЕРЕГОВАЯ-Э</v>
      </c>
      <c r="Q100">
        <f ca="1">IFERROR(__xludf.DUMMYFUNCTION("""COMPUTED_VALUE"""),46720)</f>
        <v>46720</v>
      </c>
      <c r="R100" t="str">
        <f ca="1">IFERROR(__xludf.DUMMYFUNCTION("""COMPUTED_VALUE"""),"КРИВОЙ РОГ")</f>
        <v>КРИВОЙ РОГ</v>
      </c>
      <c r="S100" t="str">
        <f ca="1">IFERROR(__xludf.DUMMYFUNCTION("""COMPUTED_VALUE"""),"11.08.21 18-30")</f>
        <v>11.08.21 18-30</v>
      </c>
      <c r="T100">
        <f ca="1">IFERROR(__xludf.DUMMYFUNCTION("""COMPUTED_VALUE"""),5343)</f>
        <v>5343</v>
      </c>
      <c r="U100" t="str">
        <f ca="1">IFERROR(__xludf.DUMMYFUNCTION("""COMPUTED_VALUE"""),"18.03.2022 ДР")</f>
        <v>18.03.2022 ДР</v>
      </c>
      <c r="Z100" t="str">
        <f ca="1">IFERROR(__xludf.DUMMYFUNCTION("""COMPUTED_VALUE"""),"ПАО «ПУМБ»")</f>
        <v>ПАО «ПУМБ»</v>
      </c>
      <c r="AA100" t="str">
        <f ca="1">IFERROR(__xludf.DUMMYFUNCTION("""COMPUTED_VALUE"""),"12-9745")</f>
        <v>12-9745</v>
      </c>
      <c r="AB100" t="str">
        <f ca="1">IFERROR(__xludf.DUMMYFUNCTION("""COMPUTED_VALUE"""),"43 ЮЖН")</f>
        <v>43 ЮЖН</v>
      </c>
      <c r="AC100" t="str">
        <f ca="1">IFERROR(__xludf.DUMMYFUNCTION("""COMPUTED_VALUE"""),"44000 ХАРЬКОВ-СОРТ")</f>
        <v>44000 ХАРЬКОВ-СОРТ</v>
      </c>
      <c r="AD100" t="str">
        <f ca="1">IFERROR(__xludf.DUMMYFUNCTION("""COMPUTED_VALUE"""),"06.05.21 14-31")</f>
        <v>06.05.21 14-31</v>
      </c>
      <c r="AE100" t="str">
        <f ca="1">IFERROR(__xludf.DUMMYFUNCTION("""COMPUTED_VALUE"""),"380 ТPEЩИНА ЦEНТPИPУЮЩEЙ БAЛКИ")</f>
        <v>380 ТPEЩИНА ЦEНТPИPУЮЩEЙ БAЛКИ</v>
      </c>
      <c r="AF100" t="str">
        <f ca="1">IFERROR(__xludf.DUMMYFUNCTION("""COMPUTED_VALUE"""),"43 ЮЖН")</f>
        <v>43 ЮЖН</v>
      </c>
      <c r="AG100" t="str">
        <f ca="1">IFERROR(__xludf.DUMMYFUNCTION("""COMPUTED_VALUE"""),"44000 ХАРЬКОВ-СОРТ")</f>
        <v>44000 ХАРЬКОВ-СОРТ</v>
      </c>
      <c r="AH100" t="str">
        <f ca="1">IFERROR(__xludf.DUMMYFUNCTION("""COMPUTED_VALUE"""),"11.05.21 16-30")</f>
        <v>11.05.21 16-30</v>
      </c>
      <c r="AI100" s="21">
        <f ca="1">IFERROR(__xludf.DUMMYFUNCTION("""COMPUTED_VALUE"""),44420.357662037)</f>
        <v>44420.357662037</v>
      </c>
    </row>
    <row r="101" spans="1:35" ht="13" x14ac:dyDescent="0.15">
      <c r="A101">
        <f ca="1">IFERROR(__xludf.DUMMYFUNCTION("""COMPUTED_VALUE"""),403)</f>
        <v>403</v>
      </c>
      <c r="B101" t="str">
        <f ca="1">IFERROR(__xludf.DUMMYFUNCTION("""COMPUTED_VALUE"""),"Подольский цемент")</f>
        <v>Подольский цемент</v>
      </c>
      <c r="C101" t="str">
        <f ca="1">IFERROR(__xludf.DUMMYFUNCTION("""COMPUTED_VALUE"""),"АЛЬФА ГРУПП КИЕВ")</f>
        <v>АЛЬФА ГРУПП КИЕВ</v>
      </c>
      <c r="D101">
        <f ca="1">IFERROR(__xludf.DUMMYFUNCTION("""COMPUTED_VALUE"""),64058175)</f>
        <v>64058175</v>
      </c>
      <c r="E101" t="str">
        <f ca="1">IFERROR(__xludf.DUMMYFUNCTION("""COMPUTED_VALUE"""),"60 ПОЛУВАГОНЫ")</f>
        <v>60 ПОЛУВАГОНЫ</v>
      </c>
      <c r="F101">
        <f ca="1">IFERROR(__xludf.DUMMYFUNCTION("""COMPUTED_VALUE"""),42103)</f>
        <v>42103</v>
      </c>
      <c r="G101" t="str">
        <f ca="1">IFERROR(__xludf.DUMMYFUNCTION("""COMPUTED_VALUE"""),"ВАГОНЫ ЖД СВ")</f>
        <v>ВАГОНЫ ЖД СВ</v>
      </c>
      <c r="H101">
        <f ca="1">IFERROR(__xludf.DUMMYFUNCTION("""COMPUTED_VALUE"""),0)</f>
        <v>0</v>
      </c>
      <c r="I101">
        <f ca="1">IFERROR(__xludf.DUMMYFUNCTION("""COMPUTED_VALUE"""),5268)</f>
        <v>5268</v>
      </c>
      <c r="J101" t="str">
        <f ca="1">IFERROR(__xludf.DUMMYFUNCTION("""COMPUTED_VALUE"""),"2222 (37780-018-37000) НИКОЛАЕВ-ДН - ЛЬВОВ")</f>
        <v>2222 (37780-018-37000) НИКОЛАЕВ-ДН - ЛЬВОВ</v>
      </c>
      <c r="K101">
        <f ca="1">IFERROR(__xludf.DUMMYFUNCTION("""COMPUTED_VALUE"""),37780)</f>
        <v>37780</v>
      </c>
      <c r="L101" t="str">
        <f ca="1">IFERROR(__xludf.DUMMYFUNCTION("""COMPUTED_VALUE"""),"НИКОЛАЕВ-ДН")</f>
        <v>НИКОЛАЕВ-ДН</v>
      </c>
      <c r="M101" t="str">
        <f ca="1">IFERROR(__xludf.DUMMYFUNCTION("""COMPUTED_VALUE"""),"08.08.21 10-00")</f>
        <v>08.08.21 10-00</v>
      </c>
      <c r="N101" t="str">
        <f ca="1">IFERROR(__xludf.DUMMYFUNCTION("""COMPUTED_VALUE"""),"91 ПРДР")</f>
        <v>91 ПРДР</v>
      </c>
      <c r="O101">
        <f ca="1">IFERROR(__xludf.DUMMYFUNCTION("""COMPUTED_VALUE"""),33300)</f>
        <v>33300</v>
      </c>
      <c r="P101" t="str">
        <f ca="1">IFERROR(__xludf.DUMMYFUNCTION("""COMPUTED_VALUE"""),"ГУМЕНЦЫ")</f>
        <v>ГУМЕНЦЫ</v>
      </c>
      <c r="Q101">
        <f ca="1">IFERROR(__xludf.DUMMYFUNCTION("""COMPUTED_VALUE"""),37780)</f>
        <v>37780</v>
      </c>
      <c r="R101" t="str">
        <f ca="1">IFERROR(__xludf.DUMMYFUNCTION("""COMPUTED_VALUE"""),"НИКОЛАЕВ-ДН")</f>
        <v>НИКОЛАЕВ-ДН</v>
      </c>
      <c r="S101" t="str">
        <f ca="1">IFERROR(__xludf.DUMMYFUNCTION("""COMPUTED_VALUE"""),"08.08.21 10-00")</f>
        <v>08.08.21 10-00</v>
      </c>
      <c r="T101">
        <f ca="1">IFERROR(__xludf.DUMMYFUNCTION("""COMPUTED_VALUE"""),1489)</f>
        <v>1489</v>
      </c>
      <c r="U101" t="str">
        <f ca="1">IFERROR(__xludf.DUMMYFUNCTION("""COMPUTED_VALUE"""),"18.03.2022 ДР")</f>
        <v>18.03.2022 ДР</v>
      </c>
      <c r="Z101" t="str">
        <f ca="1">IFERROR(__xludf.DUMMYFUNCTION("""COMPUTED_VALUE"""),"ПАО «ПУМБ»")</f>
        <v>ПАО «ПУМБ»</v>
      </c>
      <c r="AA101" t="str">
        <f ca="1">IFERROR(__xludf.DUMMYFUNCTION("""COMPUTED_VALUE"""),"12-9745")</f>
        <v>12-9745</v>
      </c>
      <c r="AB101" t="str">
        <f ca="1">IFERROR(__xludf.DUMMYFUNCTION("""COMPUTED_VALUE"""),"32 Ю-ЗАП")</f>
        <v>32 Ю-ЗАП</v>
      </c>
      <c r="AC101" t="str">
        <f ca="1">IFERROR(__xludf.DUMMYFUNCTION("""COMPUTED_VALUE"""),"34800 НОВОГР-ВОЛ I")</f>
        <v>34800 НОВОГР-ВОЛ I</v>
      </c>
      <c r="AD101" t="str">
        <f ca="1">IFERROR(__xludf.DUMMYFUNCTION("""COMPUTED_VALUE"""),"17.09.20 15-00")</f>
        <v>17.09.20 15-00</v>
      </c>
      <c r="AE101" t="str">
        <f ca="1">IFERROR(__xludf.DUMMYFUNCTION("""COMPUTED_VALUE"""),"455")</f>
        <v>455</v>
      </c>
      <c r="AF101" t="str">
        <f ca="1">IFERROR(__xludf.DUMMYFUNCTION("""COMPUTED_VALUE"""),"32 Ю-ЗАП")</f>
        <v>32 Ю-ЗАП</v>
      </c>
      <c r="AG101" t="str">
        <f ca="1">IFERROR(__xludf.DUMMYFUNCTION("""COMPUTED_VALUE"""),"34800 НОВОГР-ВОЛ I")</f>
        <v>34800 НОВОГР-ВОЛ I</v>
      </c>
      <c r="AH101" t="str">
        <f ca="1">IFERROR(__xludf.DUMMYFUNCTION("""COMPUTED_VALUE"""),"28.09.20 13-30")</f>
        <v>28.09.20 13-30</v>
      </c>
      <c r="AI101" s="21">
        <f ca="1">IFERROR(__xludf.DUMMYFUNCTION("""COMPUTED_VALUE"""),44420.357662037)</f>
        <v>44420.357662037</v>
      </c>
    </row>
    <row r="102" spans="1:35" ht="13" x14ac:dyDescent="0.15">
      <c r="A102">
        <f ca="1">IFERROR(__xludf.DUMMYFUNCTION("""COMPUTED_VALUE"""),404)</f>
        <v>404</v>
      </c>
      <c r="B102" t="str">
        <f ca="1">IFERROR(__xludf.DUMMYFUNCTION("""COMPUTED_VALUE"""),"Техрейс")</f>
        <v>Техрейс</v>
      </c>
      <c r="C102" t="str">
        <f ca="1">IFERROR(__xludf.DUMMYFUNCTION("""COMPUTED_VALUE"""),"АЛЬФА ГРУПП КИЕВ")</f>
        <v>АЛЬФА ГРУПП КИЕВ</v>
      </c>
      <c r="D102">
        <f ca="1">IFERROR(__xludf.DUMMYFUNCTION("""COMPUTED_VALUE"""),64058209)</f>
        <v>64058209</v>
      </c>
      <c r="E102" t="str">
        <f ca="1">IFERROR(__xludf.DUMMYFUNCTION("""COMPUTED_VALUE"""),"60 ПОЛУВАГОНЫ")</f>
        <v>60 ПОЛУВАГОНЫ</v>
      </c>
      <c r="F102">
        <f ca="1">IFERROR(__xludf.DUMMYFUNCTION("""COMPUTED_VALUE"""),24132)</f>
        <v>24132</v>
      </c>
      <c r="G102" t="str">
        <f ca="1">IFERROR(__xludf.DUMMYFUNCTION("""COMPUTED_VALUE"""),"КАМЕНЬ ГИПСОВ")</f>
        <v>КАМЕНЬ ГИПСОВ</v>
      </c>
      <c r="H102">
        <f ca="1">IFERROR(__xludf.DUMMYFUNCTION("""COMPUTED_VALUE"""),70)</f>
        <v>70</v>
      </c>
      <c r="I102">
        <f ca="1">IFERROR(__xludf.DUMMYFUNCTION("""COMPUTED_VALUE"""),6182)</f>
        <v>6182</v>
      </c>
      <c r="J102" t="str">
        <f ca="1">IFERROR(__xludf.DUMMYFUNCTION("""COMPUTED_VALUE"""),"2001 (45000-432-41000) НИЖНЕДН-УЗЕЛ - ЗНАМЕНКА")</f>
        <v>2001 (45000-432-41000) НИЖНЕДН-УЗЕЛ - ЗНАМЕНКА</v>
      </c>
      <c r="K102">
        <f ca="1">IFERROR(__xludf.DUMMYFUNCTION("""COMPUTED_VALUE"""),45000)</f>
        <v>45000</v>
      </c>
      <c r="L102" t="str">
        <f ca="1">IFERROR(__xludf.DUMMYFUNCTION("""COMPUTED_VALUE"""),"НИЖНЕДН-УЗЕЛ")</f>
        <v>НИЖНЕДН-УЗЕЛ</v>
      </c>
      <c r="M102" t="str">
        <f ca="1">IFERROR(__xludf.DUMMYFUNCTION("""COMPUTED_VALUE"""),"12.08.21 08-14")</f>
        <v>12.08.21 08-14</v>
      </c>
      <c r="N102" t="str">
        <f ca="1">IFERROR(__xludf.DUMMYFUNCTION("""COMPUTED_VALUE"""),"05 ФОРМ")</f>
        <v>05 ФОРМ</v>
      </c>
      <c r="O102">
        <f ca="1">IFERROR(__xludf.DUMMYFUNCTION("""COMPUTED_VALUE"""),41310)</f>
        <v>41310</v>
      </c>
      <c r="P102" t="str">
        <f ca="1">IFERROR(__xludf.DUMMYFUNCTION("""COMPUTED_VALUE"""),"АЛЕКСАНДР")</f>
        <v>АЛЕКСАНДР</v>
      </c>
      <c r="Q102">
        <f ca="1">IFERROR(__xludf.DUMMYFUNCTION("""COMPUTED_VALUE"""),49480)</f>
        <v>49480</v>
      </c>
      <c r="R102" t="str">
        <f ca="1">IFERROR(__xludf.DUMMYFUNCTION("""COMPUTED_VALUE"""),"СОЛЬ")</f>
        <v>СОЛЬ</v>
      </c>
      <c r="S102" t="str">
        <f ca="1">IFERROR(__xludf.DUMMYFUNCTION("""COMPUTED_VALUE"""),"10.08.21 17-40")</f>
        <v>10.08.21 17-40</v>
      </c>
      <c r="T102">
        <f ca="1">IFERROR(__xludf.DUMMYFUNCTION("""COMPUTED_VALUE"""),5377)</f>
        <v>5377</v>
      </c>
      <c r="U102" t="str">
        <f ca="1">IFERROR(__xludf.DUMMYFUNCTION("""COMPUTED_VALUE"""),"18.03.2022 ДР")</f>
        <v>18.03.2022 ДР</v>
      </c>
      <c r="Z102" t="str">
        <f ca="1">IFERROR(__xludf.DUMMYFUNCTION("""COMPUTED_VALUE"""),"ПАО «ПУМБ»")</f>
        <v>ПАО «ПУМБ»</v>
      </c>
      <c r="AA102" t="str">
        <f ca="1">IFERROR(__xludf.DUMMYFUNCTION("""COMPUTED_VALUE"""),"12-9745")</f>
        <v>12-9745</v>
      </c>
      <c r="AI102" s="21">
        <f ca="1">IFERROR(__xludf.DUMMYFUNCTION("""COMPUTED_VALUE"""),44420.357662037)</f>
        <v>44420.357662037</v>
      </c>
    </row>
    <row r="103" spans="1:35" ht="13" x14ac:dyDescent="0.15">
      <c r="A103">
        <f ca="1">IFERROR(__xludf.DUMMYFUNCTION("""COMPUTED_VALUE"""),416)</f>
        <v>416</v>
      </c>
      <c r="B103" t="str">
        <f ca="1">IFERROR(__xludf.DUMMYFUNCTION("""COMPUTED_VALUE"""),"Лидер")</f>
        <v>Лидер</v>
      </c>
      <c r="C103" t="str">
        <f ca="1">IFERROR(__xludf.DUMMYFUNCTION("""COMPUTED_VALUE"""),"АЛЬФА ГРУПП КИЕВ")</f>
        <v>АЛЬФА ГРУПП КИЕВ</v>
      </c>
      <c r="D103">
        <f ca="1">IFERROR(__xludf.DUMMYFUNCTION("""COMPUTED_VALUE"""),64236763)</f>
        <v>64236763</v>
      </c>
      <c r="E103" t="str">
        <f ca="1">IFERROR(__xludf.DUMMYFUNCTION("""COMPUTED_VALUE"""),"60 ПОЛУВАГОНЫ")</f>
        <v>60 ПОЛУВАГОНЫ</v>
      </c>
      <c r="F103">
        <f ca="1">IFERROR(__xludf.DUMMYFUNCTION("""COMPUTED_VALUE"""),23239)</f>
        <v>23239</v>
      </c>
      <c r="G103" t="str">
        <f ca="1">IFERROR(__xludf.DUMMYFUNCTION("""COMPUTED_VALUE"""),"ЩЕБЕНЬ ГРАНИТ")</f>
        <v>ЩЕБЕНЬ ГРАНИТ</v>
      </c>
      <c r="H103">
        <f ca="1">IFERROR(__xludf.DUMMYFUNCTION("""COMPUTED_VALUE"""),70)</f>
        <v>70</v>
      </c>
      <c r="I103">
        <f ca="1">IFERROR(__xludf.DUMMYFUNCTION("""COMPUTED_VALUE"""),5633)</f>
        <v>5633</v>
      </c>
      <c r="J103" t="str">
        <f ca="1">IFERROR(__xludf.DUMMYFUNCTION("""COMPUTED_VALUE"""),"2808 (35000-080-36000) ЗДОЛБУНОВ - ТЕРНОПОЛЬ")</f>
        <v>2808 (35000-080-36000) ЗДОЛБУНОВ - ТЕРНОПОЛЬ</v>
      </c>
      <c r="K103">
        <f ca="1">IFERROR(__xludf.DUMMYFUNCTION("""COMPUTED_VALUE"""),36000)</f>
        <v>36000</v>
      </c>
      <c r="L103" t="str">
        <f ca="1">IFERROR(__xludf.DUMMYFUNCTION("""COMPUTED_VALUE"""),"ТЕРНОПОЛЬ")</f>
        <v>ТЕРНОПОЛЬ</v>
      </c>
      <c r="M103" t="str">
        <f ca="1">IFERROR(__xludf.DUMMYFUNCTION("""COMPUTED_VALUE"""),"12.08.21 06-44")</f>
        <v>12.08.21 06-44</v>
      </c>
      <c r="N103" t="str">
        <f ca="1">IFERROR(__xludf.DUMMYFUNCTION("""COMPUTED_VALUE"""),"72 ОТЦ")</f>
        <v>72 ОТЦ</v>
      </c>
      <c r="O103">
        <f ca="1">IFERROR(__xludf.DUMMYFUNCTION("""COMPUTED_VALUE"""),36240)</f>
        <v>36240</v>
      </c>
      <c r="P103" t="str">
        <f ca="1">IFERROR(__xludf.DUMMYFUNCTION("""COMPUTED_VALUE"""),"КОЗОВА")</f>
        <v>КОЗОВА</v>
      </c>
      <c r="Q103">
        <f ca="1">IFERROR(__xludf.DUMMYFUNCTION("""COMPUTED_VALUE"""),34850)</f>
        <v>34850</v>
      </c>
      <c r="R103" t="str">
        <f ca="1">IFERROR(__xludf.DUMMYFUNCTION("""COMPUTED_VALUE"""),"УШИЦА")</f>
        <v>УШИЦА</v>
      </c>
      <c r="S103" t="str">
        <f ca="1">IFERROR(__xludf.DUMMYFUNCTION("""COMPUTED_VALUE"""),"05.08.21 10-30")</f>
        <v>05.08.21 10-30</v>
      </c>
      <c r="T103">
        <f ca="1">IFERROR(__xludf.DUMMYFUNCTION("""COMPUTED_VALUE"""),7052)</f>
        <v>7052</v>
      </c>
      <c r="U103" t="str">
        <f ca="1">IFERROR(__xludf.DUMMYFUNCTION("""COMPUTED_VALUE"""),"24.04.2022 ДР")</f>
        <v>24.04.2022 ДР</v>
      </c>
      <c r="Z103" t="str">
        <f ca="1">IFERROR(__xludf.DUMMYFUNCTION("""COMPUTED_VALUE"""),"ПАО «ПУМБ»")</f>
        <v>ПАО «ПУМБ»</v>
      </c>
      <c r="AA103" t="str">
        <f ca="1">IFERROR(__xludf.DUMMYFUNCTION("""COMPUTED_VALUE"""),"12-9745")</f>
        <v>12-9745</v>
      </c>
      <c r="AB103" t="str">
        <f ca="1">IFERROR(__xludf.DUMMYFUNCTION("""COMPUTED_VALUE"""),"43 ЮЖН")</f>
        <v>43 ЮЖН</v>
      </c>
      <c r="AC103" t="str">
        <f ca="1">IFERROR(__xludf.DUMMYFUNCTION("""COMPUTED_VALUE"""),"42560 ЗОЛОТНИШИНО")</f>
        <v>42560 ЗОЛОТНИШИНО</v>
      </c>
      <c r="AD103" t="str">
        <f ca="1">IFERROR(__xludf.DUMMYFUNCTION("""COMPUTED_VALUE"""),"15.09.20 11-00")</f>
        <v>15.09.20 11-00</v>
      </c>
      <c r="AE103" t="str">
        <f ca="1">IFERROR(__xludf.DUMMYFUNCTION("""COMPUTED_VALUE"""),"540 НEИCПPAВНOCТЬ ЗAПOPA ЛЮКA")</f>
        <v>540 НEИCПPAВНOCТЬ ЗAПOPA ЛЮКA</v>
      </c>
      <c r="AF103" t="str">
        <f ca="1">IFERROR(__xludf.DUMMYFUNCTION("""COMPUTED_VALUE"""),"43 ЮЖН")</f>
        <v>43 ЮЖН</v>
      </c>
      <c r="AG103" t="str">
        <f ca="1">IFERROR(__xludf.DUMMYFUNCTION("""COMPUTED_VALUE"""),"42560 ЗОЛОТНИШИНО")</f>
        <v>42560 ЗОЛОТНИШИНО</v>
      </c>
      <c r="AH103" t="str">
        <f ca="1">IFERROR(__xludf.DUMMYFUNCTION("""COMPUTED_VALUE"""),"15.09.20 14-50")</f>
        <v>15.09.20 14-50</v>
      </c>
      <c r="AI103" s="21">
        <f ca="1">IFERROR(__xludf.DUMMYFUNCTION("""COMPUTED_VALUE"""),44420.357662037)</f>
        <v>44420.357662037</v>
      </c>
    </row>
    <row r="104" spans="1:35" ht="13" x14ac:dyDescent="0.15">
      <c r="A104">
        <f ca="1">IFERROR(__xludf.DUMMYFUNCTION("""COMPUTED_VALUE"""),417)</f>
        <v>417</v>
      </c>
      <c r="B104" t="str">
        <f ca="1">IFERROR(__xludf.DUMMYFUNCTION("""COMPUTED_VALUE"""),"Подольский цемент")</f>
        <v>Подольский цемент</v>
      </c>
      <c r="C104" t="str">
        <f ca="1">IFERROR(__xludf.DUMMYFUNCTION("""COMPUTED_VALUE"""),"АЛЬФА ГРУПП КИЕВ")</f>
        <v>АЛЬФА ГРУПП КИЕВ</v>
      </c>
      <c r="D104">
        <f ca="1">IFERROR(__xludf.DUMMYFUNCTION("""COMPUTED_VALUE"""),64236789)</f>
        <v>64236789</v>
      </c>
      <c r="E104" t="str">
        <f ca="1">IFERROR(__xludf.DUMMYFUNCTION("""COMPUTED_VALUE"""),"60 ПОЛУВАГОНЫ")</f>
        <v>60 ПОЛУВАГОНЫ</v>
      </c>
      <c r="F104">
        <f ca="1">IFERROR(__xludf.DUMMYFUNCTION("""COMPUTED_VALUE"""),42103)</f>
        <v>42103</v>
      </c>
      <c r="G104" t="str">
        <f ca="1">IFERROR(__xludf.DUMMYFUNCTION("""COMPUTED_VALUE"""),"ВАГОНЫ ЖД СВ")</f>
        <v>ВАГОНЫ ЖД СВ</v>
      </c>
      <c r="H104">
        <f ca="1">IFERROR(__xludf.DUMMYFUNCTION("""COMPUTED_VALUE"""),0)</f>
        <v>0</v>
      </c>
      <c r="I104">
        <f ca="1">IFERROR(__xludf.DUMMYFUNCTION("""COMPUTED_VALUE"""),5268)</f>
        <v>5268</v>
      </c>
      <c r="J104" t="str">
        <f ca="1">IFERROR(__xludf.DUMMYFUNCTION("""COMPUTED_VALUE"""),"2222 (37780-018-37000) НИКОЛАЕВ-ДН - ЛЬВОВ")</f>
        <v>2222 (37780-018-37000) НИКОЛАЕВ-ДН - ЛЬВОВ</v>
      </c>
      <c r="K104">
        <f ca="1">IFERROR(__xludf.DUMMYFUNCTION("""COMPUTED_VALUE"""),37780)</f>
        <v>37780</v>
      </c>
      <c r="L104" t="str">
        <f ca="1">IFERROR(__xludf.DUMMYFUNCTION("""COMPUTED_VALUE"""),"НИКОЛАЕВ-ДН")</f>
        <v>НИКОЛАЕВ-ДН</v>
      </c>
      <c r="M104" t="str">
        <f ca="1">IFERROR(__xludf.DUMMYFUNCTION("""COMPUTED_VALUE"""),"08.08.21 10-00")</f>
        <v>08.08.21 10-00</v>
      </c>
      <c r="N104" t="str">
        <f ca="1">IFERROR(__xludf.DUMMYFUNCTION("""COMPUTED_VALUE"""),"91 ПРДР")</f>
        <v>91 ПРДР</v>
      </c>
      <c r="O104">
        <f ca="1">IFERROR(__xludf.DUMMYFUNCTION("""COMPUTED_VALUE"""),33300)</f>
        <v>33300</v>
      </c>
      <c r="P104" t="str">
        <f ca="1">IFERROR(__xludf.DUMMYFUNCTION("""COMPUTED_VALUE"""),"ГУМЕНЦЫ")</f>
        <v>ГУМЕНЦЫ</v>
      </c>
      <c r="Q104">
        <f ca="1">IFERROR(__xludf.DUMMYFUNCTION("""COMPUTED_VALUE"""),37780)</f>
        <v>37780</v>
      </c>
      <c r="R104" t="str">
        <f ca="1">IFERROR(__xludf.DUMMYFUNCTION("""COMPUTED_VALUE"""),"НИКОЛАЕВ-ДН")</f>
        <v>НИКОЛАЕВ-ДН</v>
      </c>
      <c r="S104" t="str">
        <f ca="1">IFERROR(__xludf.DUMMYFUNCTION("""COMPUTED_VALUE"""),"08.08.21 10-00")</f>
        <v>08.08.21 10-00</v>
      </c>
      <c r="T104">
        <f ca="1">IFERROR(__xludf.DUMMYFUNCTION("""COMPUTED_VALUE"""),1489)</f>
        <v>1489</v>
      </c>
      <c r="U104" t="str">
        <f ca="1">IFERROR(__xludf.DUMMYFUNCTION("""COMPUTED_VALUE"""),"24.04.2022 ДР")</f>
        <v>24.04.2022 ДР</v>
      </c>
      <c r="Z104" t="str">
        <f ca="1">IFERROR(__xludf.DUMMYFUNCTION("""COMPUTED_VALUE"""),"ПАО «ПУМБ»")</f>
        <v>ПАО «ПУМБ»</v>
      </c>
      <c r="AA104" t="str">
        <f ca="1">IFERROR(__xludf.DUMMYFUNCTION("""COMPUTED_VALUE"""),"12-9745")</f>
        <v>12-9745</v>
      </c>
      <c r="AI104" s="21">
        <f ca="1">IFERROR(__xludf.DUMMYFUNCTION("""COMPUTED_VALUE"""),44420.357662037)</f>
        <v>44420.357662037</v>
      </c>
    </row>
    <row r="105" spans="1:35" ht="13" x14ac:dyDescent="0.15">
      <c r="A105">
        <f ca="1">IFERROR(__xludf.DUMMYFUNCTION("""COMPUTED_VALUE"""),418)</f>
        <v>418</v>
      </c>
      <c r="B105" t="str">
        <f ca="1">IFERROR(__xludf.DUMMYFUNCTION("""COMPUTED_VALUE"""),"Техрейс")</f>
        <v>Техрейс</v>
      </c>
      <c r="C105" t="str">
        <f ca="1">IFERROR(__xludf.DUMMYFUNCTION("""COMPUTED_VALUE"""),"АЛЬФА ГРУПП КИЕВ")</f>
        <v>АЛЬФА ГРУПП КИЕВ</v>
      </c>
      <c r="D105">
        <f ca="1">IFERROR(__xludf.DUMMYFUNCTION("""COMPUTED_VALUE"""),64236805)</f>
        <v>64236805</v>
      </c>
      <c r="E105" t="str">
        <f ca="1">IFERROR(__xludf.DUMMYFUNCTION("""COMPUTED_VALUE"""),"60 ПОЛУВАГОНЫ")</f>
        <v>60 ПОЛУВАГОНЫ</v>
      </c>
      <c r="F105">
        <f ca="1">IFERROR(__xludf.DUMMYFUNCTION("""COMPUTED_VALUE"""),24133)</f>
        <v>24133</v>
      </c>
      <c r="G105" t="str">
        <f ca="1">IFERROR(__xludf.DUMMYFUNCTION("""COMPUTED_VALUE"""),"КАМЕНЬ ИЗВЕСТ")</f>
        <v>КАМЕНЬ ИЗВЕСТ</v>
      </c>
      <c r="H105">
        <f ca="1">IFERROR(__xludf.DUMMYFUNCTION("""COMPUTED_VALUE"""),68)</f>
        <v>68</v>
      </c>
      <c r="I105">
        <f ca="1">IFERROR(__xludf.DUMMYFUNCTION("""COMPUTED_VALUE"""),4257)</f>
        <v>4257</v>
      </c>
      <c r="J105" t="str">
        <f ca="1">IFERROR(__xludf.DUMMYFUNCTION("""COMPUTED_VALUE"""),"4838 (41300-077-41310) ВОЗНЕСЕНСК - АЛЕКСАНДР")</f>
        <v>4838 (41300-077-41310) ВОЗНЕСЕНСК - АЛЕКСАНДР</v>
      </c>
      <c r="K105">
        <f ca="1">IFERROR(__xludf.DUMMYFUNCTION("""COMPUTED_VALUE"""),41310)</f>
        <v>41310</v>
      </c>
      <c r="L105" t="str">
        <f ca="1">IFERROR(__xludf.DUMMYFUNCTION("""COMPUTED_VALUE"""),"АЛЕКСАНДР")</f>
        <v>АЛЕКСАНДР</v>
      </c>
      <c r="M105" t="str">
        <f ca="1">IFERROR(__xludf.DUMMYFUNCTION("""COMPUTED_VALUE"""),"12.08.21 02-15")</f>
        <v>12.08.21 02-15</v>
      </c>
      <c r="N105" t="str">
        <f ca="1">IFERROR(__xludf.DUMMYFUNCTION("""COMPUTED_VALUE"""),"98 ОТОТ")</f>
        <v>98 ОТОТ</v>
      </c>
      <c r="O105">
        <f ca="1">IFERROR(__xludf.DUMMYFUNCTION("""COMPUTED_VALUE"""),41310)</f>
        <v>41310</v>
      </c>
      <c r="P105" t="str">
        <f ca="1">IFERROR(__xludf.DUMMYFUNCTION("""COMPUTED_VALUE"""),"АЛЕКСАНДР")</f>
        <v>АЛЕКСАНДР</v>
      </c>
      <c r="Q105">
        <f ca="1">IFERROR(__xludf.DUMMYFUNCTION("""COMPUTED_VALUE"""),36120)</f>
        <v>36120</v>
      </c>
      <c r="R105" t="str">
        <f ca="1">IFERROR(__xludf.DUMMYFUNCTION("""COMPUTED_VALUE"""),"МАКСИМ.-ТЕРН")</f>
        <v>МАКСИМ.-ТЕРН</v>
      </c>
      <c r="S105" t="str">
        <f ca="1">IFERROR(__xludf.DUMMYFUNCTION("""COMPUTED_VALUE"""),"31.07.21 18-55")</f>
        <v>31.07.21 18-55</v>
      </c>
      <c r="T105">
        <f ca="1">IFERROR(__xludf.DUMMYFUNCTION("""COMPUTED_VALUE"""),1120)</f>
        <v>1120</v>
      </c>
      <c r="U105" t="str">
        <f ca="1">IFERROR(__xludf.DUMMYFUNCTION("""COMPUTED_VALUE"""),"24.04.2022 ДР")</f>
        <v>24.04.2022 ДР</v>
      </c>
      <c r="Z105" t="str">
        <f ca="1">IFERROR(__xludf.DUMMYFUNCTION("""COMPUTED_VALUE"""),"ПАО «ПУМБ»")</f>
        <v>ПАО «ПУМБ»</v>
      </c>
      <c r="AA105" t="str">
        <f ca="1">IFERROR(__xludf.DUMMYFUNCTION("""COMPUTED_VALUE"""),"12-9745")</f>
        <v>12-9745</v>
      </c>
      <c r="AB105" t="str">
        <f ca="1">IFERROR(__xludf.DUMMYFUNCTION("""COMPUTED_VALUE"""),"43 ЮЖН")</f>
        <v>43 ЮЖН</v>
      </c>
      <c r="AC105" t="str">
        <f ca="1">IFERROR(__xludf.DUMMYFUNCTION("""COMPUTED_VALUE"""),"44280 ЛОЗОВАЯ")</f>
        <v>44280 ЛОЗОВАЯ</v>
      </c>
      <c r="AD105" t="str">
        <f ca="1">IFERROR(__xludf.DUMMYFUNCTION("""COMPUTED_VALUE"""),"14.04.20 03-00")</f>
        <v>14.04.20 03-00</v>
      </c>
      <c r="AE105" t="str">
        <f ca="1">IFERROR(__xludf.DUMMYFUNCTION("""COMPUTED_VALUE"""),"404 НEИCПPAВНОСТЬ ТOPМOЗНOГO ЦИЛИНДPA")</f>
        <v>404 НEИCПPAВНОСТЬ ТOPМOЗНOГO ЦИЛИНДPA</v>
      </c>
      <c r="AF105" t="str">
        <f ca="1">IFERROR(__xludf.DUMMYFUNCTION("""COMPUTED_VALUE"""),"43 ЮЖН")</f>
        <v>43 ЮЖН</v>
      </c>
      <c r="AG105" t="str">
        <f ca="1">IFERROR(__xludf.DUMMYFUNCTION("""COMPUTED_VALUE"""),"44280 ЛОЗОВАЯ")</f>
        <v>44280 ЛОЗОВАЯ</v>
      </c>
      <c r="AH105" t="str">
        <f ca="1">IFERROR(__xludf.DUMMYFUNCTION("""COMPUTED_VALUE"""),"14.04.20 15-00")</f>
        <v>14.04.20 15-00</v>
      </c>
      <c r="AI105" s="21">
        <f ca="1">IFERROR(__xludf.DUMMYFUNCTION("""COMPUTED_VALUE"""),44420.357662037)</f>
        <v>44420.357662037</v>
      </c>
    </row>
    <row r="106" spans="1:35" ht="13" x14ac:dyDescent="0.15">
      <c r="A106">
        <f ca="1">IFERROR(__xludf.DUMMYFUNCTION("""COMPUTED_VALUE"""),419)</f>
        <v>419</v>
      </c>
      <c r="B106" t="str">
        <f ca="1">IFERROR(__xludf.DUMMYFUNCTION("""COMPUTED_VALUE"""),"Техрейс")</f>
        <v>Техрейс</v>
      </c>
      <c r="C106" t="str">
        <f ca="1">IFERROR(__xludf.DUMMYFUNCTION("""COMPUTED_VALUE"""),"АЛЬФА ГРУПП КИЕВ")</f>
        <v>АЛЬФА ГРУПП КИЕВ</v>
      </c>
      <c r="D106">
        <f ca="1">IFERROR(__xludf.DUMMYFUNCTION("""COMPUTED_VALUE"""),64236813)</f>
        <v>64236813</v>
      </c>
      <c r="E106" t="str">
        <f ca="1">IFERROR(__xludf.DUMMYFUNCTION("""COMPUTED_VALUE"""),"60 ПОЛУВАГОНЫ")</f>
        <v>60 ПОЛУВАГОНЫ</v>
      </c>
      <c r="F106">
        <f ca="1">IFERROR(__xludf.DUMMYFUNCTION("""COMPUTED_VALUE"""),42103)</f>
        <v>42103</v>
      </c>
      <c r="G106" t="str">
        <f ca="1">IFERROR(__xludf.DUMMYFUNCTION("""COMPUTED_VALUE"""),"ВАГОНЫ ЖД СВ")</f>
        <v>ВАГОНЫ ЖД СВ</v>
      </c>
      <c r="H106">
        <f ca="1">IFERROR(__xludf.DUMMYFUNCTION("""COMPUTED_VALUE"""),0)</f>
        <v>0</v>
      </c>
      <c r="I106">
        <f ca="1">IFERROR(__xludf.DUMMYFUNCTION("""COMPUTED_VALUE"""),4307)</f>
        <v>4307</v>
      </c>
      <c r="J106" t="str">
        <f ca="1">IFERROR(__xludf.DUMMYFUNCTION("""COMPUTED_VALUE"""),"3001 (40110-077-40000) ЧЕРНОМОРСКАЯ - ОДЕССА-СОРТ")</f>
        <v>3001 (40110-077-40000) ЧЕРНОМОРСКАЯ - ОДЕССА-СОРТ</v>
      </c>
      <c r="K106">
        <f ca="1">IFERROR(__xludf.DUMMYFUNCTION("""COMPUTED_VALUE"""),40110)</f>
        <v>40110</v>
      </c>
      <c r="L106" t="str">
        <f ca="1">IFERROR(__xludf.DUMMYFUNCTION("""COMPUTED_VALUE"""),"ЧЕРНОМОРСКАЯ")</f>
        <v>ЧЕРНОМОРСКАЯ</v>
      </c>
      <c r="M106" t="str">
        <f ca="1">IFERROR(__xludf.DUMMYFUNCTION("""COMPUTED_VALUE"""),"11.08.21 11-10")</f>
        <v>11.08.21 11-10</v>
      </c>
      <c r="N106" t="str">
        <f ca="1">IFERROR(__xludf.DUMMYFUNCTION("""COMPUTED_VALUE"""),"05 ФОРМ")</f>
        <v>05 ФОРМ</v>
      </c>
      <c r="O106">
        <f ca="1">IFERROR(__xludf.DUMMYFUNCTION("""COMPUTED_VALUE"""),40200)</f>
        <v>40200</v>
      </c>
      <c r="P106" t="str">
        <f ca="1">IFERROR(__xludf.DUMMYFUNCTION("""COMPUTED_VALUE"""),"ЧЕРНОМОРСК-П")</f>
        <v>ЧЕРНОМОРСК-П</v>
      </c>
      <c r="Q106">
        <f ca="1">IFERROR(__xludf.DUMMYFUNCTION("""COMPUTED_VALUE"""),40050)</f>
        <v>40050</v>
      </c>
      <c r="R106" t="str">
        <f ca="1">IFERROR(__xludf.DUMMYFUNCTION("""COMPUTED_VALUE"""),"БЕРЕГОВАЯ")</f>
        <v>БЕРЕГОВАЯ</v>
      </c>
      <c r="S106" t="str">
        <f ca="1">IFERROR(__xludf.DUMMYFUNCTION("""COMPUTED_VALUE"""),"08.08.21 13-45")</f>
        <v>08.08.21 13-45</v>
      </c>
      <c r="T106">
        <f ca="1">IFERROR(__xludf.DUMMYFUNCTION("""COMPUTED_VALUE"""),8200)</f>
        <v>8200</v>
      </c>
      <c r="U106" t="str">
        <f ca="1">IFERROR(__xludf.DUMMYFUNCTION("""COMPUTED_VALUE"""),"24.04.2022 ДР")</f>
        <v>24.04.2022 ДР</v>
      </c>
      <c r="Z106" t="str">
        <f ca="1">IFERROR(__xludf.DUMMYFUNCTION("""COMPUTED_VALUE"""),"ПАО «ПУМБ»")</f>
        <v>ПАО «ПУМБ»</v>
      </c>
      <c r="AA106" t="str">
        <f ca="1">IFERROR(__xludf.DUMMYFUNCTION("""COMPUTED_VALUE"""),"12-9745")</f>
        <v>12-9745</v>
      </c>
      <c r="AI106" s="21">
        <f ca="1">IFERROR(__xludf.DUMMYFUNCTION("""COMPUTED_VALUE"""),44420.357662037)</f>
        <v>44420.357662037</v>
      </c>
    </row>
    <row r="107" spans="1:35" ht="13" x14ac:dyDescent="0.15">
      <c r="A107">
        <f ca="1">IFERROR(__xludf.DUMMYFUNCTION("""COMPUTED_VALUE"""),420)</f>
        <v>420</v>
      </c>
      <c r="B107" t="str">
        <f ca="1">IFERROR(__xludf.DUMMYFUNCTION("""COMPUTED_VALUE"""),"Лидер")</f>
        <v>Лидер</v>
      </c>
      <c r="C107" t="str">
        <f ca="1">IFERROR(__xludf.DUMMYFUNCTION("""COMPUTED_VALUE"""),"АЛЬФА ГРУПП КИЕВ")</f>
        <v>АЛЬФА ГРУПП КИЕВ</v>
      </c>
      <c r="D107">
        <f ca="1">IFERROR(__xludf.DUMMYFUNCTION("""COMPUTED_VALUE"""),64238041)</f>
        <v>64238041</v>
      </c>
      <c r="E107" t="str">
        <f ca="1">IFERROR(__xludf.DUMMYFUNCTION("""COMPUTED_VALUE"""),"60 ПОЛУВАГОНЫ")</f>
        <v>60 ПОЛУВАГОНЫ</v>
      </c>
      <c r="F107">
        <f ca="1">IFERROR(__xludf.DUMMYFUNCTION("""COMPUTED_VALUE"""),42103)</f>
        <v>42103</v>
      </c>
      <c r="G107" t="str">
        <f ca="1">IFERROR(__xludf.DUMMYFUNCTION("""COMPUTED_VALUE"""),"ВАГОНЫ ЖД СВ")</f>
        <v>ВАГОНЫ ЖД СВ</v>
      </c>
      <c r="H107">
        <f ca="1">IFERROR(__xludf.DUMMYFUNCTION("""COMPUTED_VALUE"""),0)</f>
        <v>0</v>
      </c>
      <c r="I107">
        <f ca="1">IFERROR(__xludf.DUMMYFUNCTION("""COMPUTED_VALUE"""),7052)</f>
        <v>7052</v>
      </c>
      <c r="J107" t="str">
        <f ca="1">IFERROR(__xludf.DUMMYFUNCTION("""COMPUTED_VALUE"""),"3502 (34630-492-34850) КОРОСТЕНЬ - УШИЦА")</f>
        <v>3502 (34630-492-34850) КОРОСТЕНЬ - УШИЦА</v>
      </c>
      <c r="K107">
        <f ca="1">IFERROR(__xludf.DUMMYFUNCTION("""COMPUTED_VALUE"""),34640)</f>
        <v>34640</v>
      </c>
      <c r="L107" t="str">
        <f ca="1">IFERROR(__xludf.DUMMYFUNCTION("""COMPUTED_VALUE"""),"КОРОСТ-ПОДОЛ")</f>
        <v>КОРОСТ-ПОДОЛ</v>
      </c>
      <c r="M107" t="str">
        <f ca="1">IFERROR(__xludf.DUMMYFUNCTION("""COMPUTED_VALUE"""),"12.08.21 05-56")</f>
        <v>12.08.21 05-56</v>
      </c>
      <c r="N107" t="str">
        <f ca="1">IFERROR(__xludf.DUMMYFUNCTION("""COMPUTED_VALUE"""),"01 ПРИБ")</f>
        <v>01 ПРИБ</v>
      </c>
      <c r="O107">
        <f ca="1">IFERROR(__xludf.DUMMYFUNCTION("""COMPUTED_VALUE"""),34850)</f>
        <v>34850</v>
      </c>
      <c r="P107" t="str">
        <f ca="1">IFERROR(__xludf.DUMMYFUNCTION("""COMPUTED_VALUE"""),"УШИЦА")</f>
        <v>УШИЦА</v>
      </c>
      <c r="Q107">
        <f ca="1">IFERROR(__xludf.DUMMYFUNCTION("""COMPUTED_VALUE"""),49870)</f>
        <v>49870</v>
      </c>
      <c r="R107" t="str">
        <f ca="1">IFERROR(__xludf.DUMMYFUNCTION("""COMPUTED_VALUE"""),"РУБЕЖНОЕ")</f>
        <v>РУБЕЖНОЕ</v>
      </c>
      <c r="S107" t="str">
        <f ca="1">IFERROR(__xludf.DUMMYFUNCTION("""COMPUTED_VALUE"""),"06.08.21 13-50")</f>
        <v>06.08.21 13-50</v>
      </c>
      <c r="T107">
        <f ca="1">IFERROR(__xludf.DUMMYFUNCTION("""COMPUTED_VALUE"""),2992)</f>
        <v>2992</v>
      </c>
      <c r="U107" t="str">
        <f ca="1">IFERROR(__xludf.DUMMYFUNCTION("""COMPUTED_VALUE"""),"24.05.2022 ДР")</f>
        <v>24.05.2022 ДР</v>
      </c>
      <c r="Z107" t="str">
        <f ca="1">IFERROR(__xludf.DUMMYFUNCTION("""COMPUTED_VALUE"""),"ПАО «ПУМБ»")</f>
        <v>ПАО «ПУМБ»</v>
      </c>
      <c r="AA107" t="str">
        <f ca="1">IFERROR(__xludf.DUMMYFUNCTION("""COMPUTED_VALUE"""),"12-9745")</f>
        <v>12-9745</v>
      </c>
      <c r="AB107" t="str">
        <f ca="1">IFERROR(__xludf.DUMMYFUNCTION("""COMPUTED_VALUE"""),"43 ЮЖН")</f>
        <v>43 ЮЖН</v>
      </c>
      <c r="AC107" t="str">
        <f ca="1">IFERROR(__xludf.DUMMYFUNCTION("""COMPUTED_VALUE"""),"44280 ЛОЗОВАЯ")</f>
        <v>44280 ЛОЗОВАЯ</v>
      </c>
      <c r="AD107" t="str">
        <f ca="1">IFERROR(__xludf.DUMMYFUNCTION("""COMPUTED_VALUE"""),"21.01.21 02-15")</f>
        <v>21.01.21 02-15</v>
      </c>
      <c r="AE107" t="str">
        <f ca="1">IFERROR(__xludf.DUMMYFUNCTION("""COMPUTED_VALUE"""),"445 ЗAВAP БAШМAКA")</f>
        <v>445 ЗAВAP БAШМAКA</v>
      </c>
      <c r="AF107" t="str">
        <f ca="1">IFERROR(__xludf.DUMMYFUNCTION("""COMPUTED_VALUE"""),"43 ЮЖН")</f>
        <v>43 ЮЖН</v>
      </c>
      <c r="AG107" t="str">
        <f ca="1">IFERROR(__xludf.DUMMYFUNCTION("""COMPUTED_VALUE"""),"44280 ЛОЗОВАЯ")</f>
        <v>44280 ЛОЗОВАЯ</v>
      </c>
      <c r="AH107" t="str">
        <f ca="1">IFERROR(__xludf.DUMMYFUNCTION("""COMPUTED_VALUE"""),"22.01.21 15-00")</f>
        <v>22.01.21 15-00</v>
      </c>
      <c r="AI107" s="21">
        <f ca="1">IFERROR(__xludf.DUMMYFUNCTION("""COMPUTED_VALUE"""),44420.357662037)</f>
        <v>44420.357662037</v>
      </c>
    </row>
    <row r="108" spans="1:35" ht="13" x14ac:dyDescent="0.15">
      <c r="A108">
        <f ca="1">IFERROR(__xludf.DUMMYFUNCTION("""COMPUTED_VALUE"""),421)</f>
        <v>421</v>
      </c>
      <c r="B108" t="str">
        <f ca="1">IFERROR(__xludf.DUMMYFUNCTION("""COMPUTED_VALUE"""),"Техрейс")</f>
        <v>Техрейс</v>
      </c>
      <c r="C108" t="str">
        <f ca="1">IFERROR(__xludf.DUMMYFUNCTION("""COMPUTED_VALUE"""),"АЛЬФА ГРУПП КИЕВ")</f>
        <v>АЛЬФА ГРУПП КИЕВ</v>
      </c>
      <c r="D108">
        <f ca="1">IFERROR(__xludf.DUMMYFUNCTION("""COMPUTED_VALUE"""),64238033)</f>
        <v>64238033</v>
      </c>
      <c r="E108" t="str">
        <f ca="1">IFERROR(__xludf.DUMMYFUNCTION("""COMPUTED_VALUE"""),"60 ПОЛУВАГОНЫ")</f>
        <v>60 ПОЛУВАГОНЫ</v>
      </c>
      <c r="F108">
        <f ca="1">IFERROR(__xludf.DUMMYFUNCTION("""COMPUTED_VALUE"""),42103)</f>
        <v>42103</v>
      </c>
      <c r="G108" t="str">
        <f ca="1">IFERROR(__xludf.DUMMYFUNCTION("""COMPUTED_VALUE"""),"ВАГОНЫ ЖД СВ")</f>
        <v>ВАГОНЫ ЖД СВ</v>
      </c>
      <c r="H108">
        <f ca="1">IFERROR(__xludf.DUMMYFUNCTION("""COMPUTED_VALUE"""),0)</f>
        <v>0</v>
      </c>
      <c r="I108">
        <f ca="1">IFERROR(__xludf.DUMMYFUNCTION("""COMPUTED_VALUE"""),8607)</f>
        <v>8607</v>
      </c>
      <c r="J108" t="str">
        <f ca="1">IFERROR(__xludf.DUMMYFUNCTION("""COMPUTED_VALUE"""),"3502 (34270-145-33850) КАЗАТИН I - ЖАШКОВ")</f>
        <v>3502 (34270-145-33850) КАЗАТИН I - ЖАШКОВ</v>
      </c>
      <c r="K108">
        <f ca="1">IFERROR(__xludf.DUMMYFUNCTION("""COMPUTED_VALUE"""),33870)</f>
        <v>33870</v>
      </c>
      <c r="L108" t="str">
        <f ca="1">IFERROR(__xludf.DUMMYFUNCTION("""COMPUTED_VALUE"""),"ТЕТИЕВ")</f>
        <v>ТЕТИЕВ</v>
      </c>
      <c r="M108" t="str">
        <f ca="1">IFERROR(__xludf.DUMMYFUNCTION("""COMPUTED_VALUE"""),"10.08.21 16-00")</f>
        <v>10.08.21 16-00</v>
      </c>
      <c r="N108" t="str">
        <f ca="1">IFERROR(__xludf.DUMMYFUNCTION("""COMPUTED_VALUE"""),"86 ОДПВ")</f>
        <v>86 ОДПВ</v>
      </c>
      <c r="O108">
        <f ca="1">IFERROR(__xludf.DUMMYFUNCTION("""COMPUTED_VALUE"""),33700)</f>
        <v>33700</v>
      </c>
      <c r="P108" t="str">
        <f ca="1">IFERROR(__xludf.DUMMYFUNCTION("""COMPUTED_VALUE"""),"ГУЛЕВЦЫ")</f>
        <v>ГУЛЕВЦЫ</v>
      </c>
      <c r="Q108">
        <f ca="1">IFERROR(__xludf.DUMMYFUNCTION("""COMPUTED_VALUE"""),33870)</f>
        <v>33870</v>
      </c>
      <c r="R108" t="str">
        <f ca="1">IFERROR(__xludf.DUMMYFUNCTION("""COMPUTED_VALUE"""),"ТЕТИЕВ")</f>
        <v>ТЕТИЕВ</v>
      </c>
      <c r="S108" t="str">
        <f ca="1">IFERROR(__xludf.DUMMYFUNCTION("""COMPUTED_VALUE"""),"10.08.21 16-00")</f>
        <v>10.08.21 16-00</v>
      </c>
      <c r="T108">
        <f ca="1">IFERROR(__xludf.DUMMYFUNCTION("""COMPUTED_VALUE"""),8200)</f>
        <v>8200</v>
      </c>
      <c r="U108" t="str">
        <f ca="1">IFERROR(__xludf.DUMMYFUNCTION("""COMPUTED_VALUE"""),"24.05.2022 ДР")</f>
        <v>24.05.2022 ДР</v>
      </c>
      <c r="Z108" t="str">
        <f ca="1">IFERROR(__xludf.DUMMYFUNCTION("""COMPUTED_VALUE"""),"ПАО «ПУМБ»")</f>
        <v>ПАО «ПУМБ»</v>
      </c>
      <c r="AA108" t="str">
        <f ca="1">IFERROR(__xludf.DUMMYFUNCTION("""COMPUTED_VALUE"""),"12-9745")</f>
        <v>12-9745</v>
      </c>
      <c r="AB108" t="str">
        <f ca="1">IFERROR(__xludf.DUMMYFUNCTION("""COMPUTED_VALUE"""),"43 ЮЖН")</f>
        <v>43 ЮЖН</v>
      </c>
      <c r="AC108" t="str">
        <f ca="1">IFERROR(__xludf.DUMMYFUNCTION("""COMPUTED_VALUE"""),"42560 ЗОЛОТНИШИНО")</f>
        <v>42560 ЗОЛОТНИШИНО</v>
      </c>
      <c r="AD108" t="str">
        <f ca="1">IFERROR(__xludf.DUMMYFUNCTION("""COMPUTED_VALUE"""),"04.09.20 11-00")</f>
        <v>04.09.20 11-00</v>
      </c>
      <c r="AE108" t="str">
        <f ca="1">IFERROR(__xludf.DUMMYFUNCTION("""COMPUTED_VALUE"""),"540 НEИCПPAВНOCТЬ ЗAПOPA ЛЮКA")</f>
        <v>540 НEИCПPAВНOCТЬ ЗAПOPA ЛЮКA</v>
      </c>
      <c r="AF108" t="str">
        <f ca="1">IFERROR(__xludf.DUMMYFUNCTION("""COMPUTED_VALUE"""),"43 ЮЖН")</f>
        <v>43 ЮЖН</v>
      </c>
      <c r="AG108" t="str">
        <f ca="1">IFERROR(__xludf.DUMMYFUNCTION("""COMPUTED_VALUE"""),"42560 ЗОЛОТНИШИНО")</f>
        <v>42560 ЗОЛОТНИШИНО</v>
      </c>
      <c r="AH108" t="str">
        <f ca="1">IFERROR(__xludf.DUMMYFUNCTION("""COMPUTED_VALUE"""),"04.09.20 14-05")</f>
        <v>04.09.20 14-05</v>
      </c>
      <c r="AI108" s="21">
        <f ca="1">IFERROR(__xludf.DUMMYFUNCTION("""COMPUTED_VALUE"""),44420.357662037)</f>
        <v>44420.357662037</v>
      </c>
    </row>
    <row r="109" spans="1:35" ht="13" x14ac:dyDescent="0.15">
      <c r="A109">
        <f ca="1">IFERROR(__xludf.DUMMYFUNCTION("""COMPUTED_VALUE"""),422)</f>
        <v>422</v>
      </c>
      <c r="B109" t="str">
        <f ca="1">IFERROR(__xludf.DUMMYFUNCTION("""COMPUTED_VALUE"""),"ГРАНІТ-ЮГ С")</f>
        <v>ГРАНІТ-ЮГ С</v>
      </c>
      <c r="C109" t="str">
        <f ca="1">IFERROR(__xludf.DUMMYFUNCTION("""COMPUTED_VALUE"""),"АЛЬФА ГРУПП КИЕВ")</f>
        <v>АЛЬФА ГРУПП КИЕВ</v>
      </c>
      <c r="D109">
        <f ca="1">IFERROR(__xludf.DUMMYFUNCTION("""COMPUTED_VALUE"""),64238017)</f>
        <v>64238017</v>
      </c>
      <c r="E109" t="str">
        <f ca="1">IFERROR(__xludf.DUMMYFUNCTION("""COMPUTED_VALUE"""),"60 ПОЛУВАГОНЫ")</f>
        <v>60 ПОЛУВАГОНЫ</v>
      </c>
      <c r="F109">
        <f ca="1">IFERROR(__xludf.DUMMYFUNCTION("""COMPUTED_VALUE"""),23225)</f>
        <v>23225</v>
      </c>
      <c r="G109" t="str">
        <f ca="1">IFERROR(__xludf.DUMMYFUNCTION("""COMPUTED_VALUE"""),"ОТСЕВ ГРАН КАМ")</f>
        <v>ОТСЕВ ГРАН КАМ</v>
      </c>
      <c r="H109">
        <f ca="1">IFERROR(__xludf.DUMMYFUNCTION("""COMPUTED_VALUE"""),70)</f>
        <v>70</v>
      </c>
      <c r="I109">
        <f ca="1">IFERROR(__xludf.DUMMYFUNCTION("""COMPUTED_VALUE"""),1879)</f>
        <v>1879</v>
      </c>
      <c r="J109" t="str">
        <f ca="1">IFERROR(__xludf.DUMMYFUNCTION("""COMPUTED_VALUE"""),"2721 (40510-351-40020) ОДЕССА-ЗАС I - ОДЕС-ТОВАРН")</f>
        <v>2721 (40510-351-40020) ОДЕССА-ЗАС I - ОДЕС-ТОВАРН</v>
      </c>
      <c r="K109">
        <f ca="1">IFERROR(__xludf.DUMMYFUNCTION("""COMPUTED_VALUE"""),40130)</f>
        <v>40130</v>
      </c>
      <c r="L109" t="str">
        <f ca="1">IFERROR(__xludf.DUMMYFUNCTION("""COMPUTED_VALUE"""),"ОДЕС-ЗАС II")</f>
        <v>ОДЕС-ЗАС II</v>
      </c>
      <c r="M109" t="str">
        <f ca="1">IFERROR(__xludf.DUMMYFUNCTION("""COMPUTED_VALUE"""),"11.08.21 20-30")</f>
        <v>11.08.21 20-30</v>
      </c>
      <c r="N109" t="str">
        <f ca="1">IFERROR(__xludf.DUMMYFUNCTION("""COMPUTED_VALUE"""),"21 ВЫГ2")</f>
        <v>21 ВЫГ2</v>
      </c>
      <c r="O109">
        <f ca="1">IFERROR(__xludf.DUMMYFUNCTION("""COMPUTED_VALUE"""),40130)</f>
        <v>40130</v>
      </c>
      <c r="P109" t="str">
        <f ca="1">IFERROR(__xludf.DUMMYFUNCTION("""COMPUTED_VALUE"""),"ОДЕС-ЗАС II")</f>
        <v>ОДЕС-ЗАС II</v>
      </c>
      <c r="Q109">
        <f ca="1">IFERROR(__xludf.DUMMYFUNCTION("""COMPUTED_VALUE"""),41190)</f>
        <v>41190</v>
      </c>
      <c r="R109" t="str">
        <f ca="1">IFERROR(__xludf.DUMMYFUNCTION("""COMPUTED_VALUE"""),"ПОМОШНАЯ")</f>
        <v>ПОМОШНАЯ</v>
      </c>
      <c r="S109" t="str">
        <f ca="1">IFERROR(__xludf.DUMMYFUNCTION("""COMPUTED_VALUE"""),"09.08.21 16-55")</f>
        <v>09.08.21 16-55</v>
      </c>
      <c r="U109" t="str">
        <f ca="1">IFERROR(__xludf.DUMMYFUNCTION("""COMPUTED_VALUE"""),"24.05.2022 ДР")</f>
        <v>24.05.2022 ДР</v>
      </c>
      <c r="Z109" t="str">
        <f ca="1">IFERROR(__xludf.DUMMYFUNCTION("""COMPUTED_VALUE"""),"ПАО «ПУМБ»")</f>
        <v>ПАО «ПУМБ»</v>
      </c>
      <c r="AA109" t="str">
        <f ca="1">IFERROR(__xludf.DUMMYFUNCTION("""COMPUTED_VALUE"""),"12-9745")</f>
        <v>12-9745</v>
      </c>
      <c r="AI109" s="21">
        <f ca="1">IFERROR(__xludf.DUMMYFUNCTION("""COMPUTED_VALUE"""),44420.357662037)</f>
        <v>44420.357662037</v>
      </c>
    </row>
    <row r="110" spans="1:35" ht="13" x14ac:dyDescent="0.15">
      <c r="A110">
        <f ca="1">IFERROR(__xludf.DUMMYFUNCTION("""COMPUTED_VALUE"""),423)</f>
        <v>423</v>
      </c>
      <c r="B110" t="str">
        <f ca="1">IFERROR(__xludf.DUMMYFUNCTION("""COMPUTED_VALUE"""),"Техрейс")</f>
        <v>Техрейс</v>
      </c>
      <c r="C110" t="str">
        <f ca="1">IFERROR(__xludf.DUMMYFUNCTION("""COMPUTED_VALUE"""),"АЛЬФА ГРУПП КИЕВ")</f>
        <v>АЛЬФА ГРУПП КИЕВ</v>
      </c>
      <c r="D110">
        <f ca="1">IFERROR(__xludf.DUMMYFUNCTION("""COMPUTED_VALUE"""),64238009)</f>
        <v>64238009</v>
      </c>
      <c r="E110" t="str">
        <f ca="1">IFERROR(__xludf.DUMMYFUNCTION("""COMPUTED_VALUE"""),"60 ПОЛУВАГОНЫ")</f>
        <v>60 ПОЛУВАГОНЫ</v>
      </c>
      <c r="F110">
        <f ca="1">IFERROR(__xludf.DUMMYFUNCTION("""COMPUTED_VALUE"""),42103)</f>
        <v>42103</v>
      </c>
      <c r="G110" t="str">
        <f ca="1">IFERROR(__xludf.DUMMYFUNCTION("""COMPUTED_VALUE"""),"ВАГОНЫ ЖД СВ")</f>
        <v>ВАГОНЫ ЖД СВ</v>
      </c>
      <c r="H110">
        <f ca="1">IFERROR(__xludf.DUMMYFUNCTION("""COMPUTED_VALUE"""),0)</f>
        <v>0</v>
      </c>
      <c r="I110">
        <f ca="1">IFERROR(__xludf.DUMMYFUNCTION("""COMPUTED_VALUE"""),1816)</f>
        <v>1816</v>
      </c>
      <c r="J110" t="str">
        <f ca="1">IFERROR(__xludf.DUMMYFUNCTION("""COMPUTED_VALUE"""),"2267 (44280-672-45450) ЛОЗОВАЯ - ПАВЛОГРАД I")</f>
        <v>2267 (44280-672-45450) ЛОЗОВАЯ - ПАВЛОГРАД I</v>
      </c>
      <c r="K110">
        <f ca="1">IFERROR(__xludf.DUMMYFUNCTION("""COMPUTED_VALUE"""),44280)</f>
        <v>44280</v>
      </c>
      <c r="L110" t="str">
        <f ca="1">IFERROR(__xludf.DUMMYFUNCTION("""COMPUTED_VALUE"""),"ЛОЗОВАЯ")</f>
        <v>ЛОЗОВАЯ</v>
      </c>
      <c r="M110" t="str">
        <f ca="1">IFERROR(__xludf.DUMMYFUNCTION("""COMPUTED_VALUE"""),"11.08.21 17-00")</f>
        <v>11.08.21 17-00</v>
      </c>
      <c r="N110" t="str">
        <f ca="1">IFERROR(__xludf.DUMMYFUNCTION("""COMPUTED_VALUE"""),"86 ОДПВ")</f>
        <v>86 ОДПВ</v>
      </c>
      <c r="O110">
        <f ca="1">IFERROR(__xludf.DUMMYFUNCTION("""COMPUTED_VALUE"""),48220)</f>
        <v>48220</v>
      </c>
      <c r="P110" t="str">
        <f ca="1">IFERROR(__xludf.DUMMYFUNCTION("""COMPUTED_VALUE"""),"НОВОГРОДОВКА")</f>
        <v>НОВОГРОДОВКА</v>
      </c>
      <c r="Q110">
        <f ca="1">IFERROR(__xludf.DUMMYFUNCTION("""COMPUTED_VALUE"""),44280)</f>
        <v>44280</v>
      </c>
      <c r="R110" t="str">
        <f ca="1">IFERROR(__xludf.DUMMYFUNCTION("""COMPUTED_VALUE"""),"ЛОЗОВАЯ")</f>
        <v>ЛОЗОВАЯ</v>
      </c>
      <c r="S110" t="str">
        <f ca="1">IFERROR(__xludf.DUMMYFUNCTION("""COMPUTED_VALUE"""),"11.08.21 17-00")</f>
        <v>11.08.21 17-00</v>
      </c>
      <c r="T110">
        <f ca="1">IFERROR(__xludf.DUMMYFUNCTION("""COMPUTED_VALUE"""),8200)</f>
        <v>8200</v>
      </c>
      <c r="U110" t="str">
        <f ca="1">IFERROR(__xludf.DUMMYFUNCTION("""COMPUTED_VALUE"""),"24.05.2022 ДР")</f>
        <v>24.05.2022 ДР</v>
      </c>
      <c r="Z110" t="str">
        <f ca="1">IFERROR(__xludf.DUMMYFUNCTION("""COMPUTED_VALUE"""),"ПАО «ПУМБ»")</f>
        <v>ПАО «ПУМБ»</v>
      </c>
      <c r="AA110" t="str">
        <f ca="1">IFERROR(__xludf.DUMMYFUNCTION("""COMPUTED_VALUE"""),"12-9745")</f>
        <v>12-9745</v>
      </c>
      <c r="AB110" t="str">
        <f ca="1">IFERROR(__xludf.DUMMYFUNCTION("""COMPUTED_VALUE"""),"35 ЛЬВ")</f>
        <v>35 ЛЬВ</v>
      </c>
      <c r="AC110" t="str">
        <f ca="1">IFERROR(__xludf.DUMMYFUNCTION("""COMPUTED_VALUE"""),"35000 ЗДОЛБУНОВ")</f>
        <v>35000 ЗДОЛБУНОВ</v>
      </c>
      <c r="AD110" t="str">
        <f ca="1">IFERROR(__xludf.DUMMYFUNCTION("""COMPUTED_VALUE"""),"23.07.20 14-00")</f>
        <v>23.07.20 14-00</v>
      </c>
      <c r="AE110" t="str">
        <f ca="1">IFERROR(__xludf.DUMMYFUNCTION("""COMPUTED_VALUE"""),"443 ИЗЛOМ PЫЧAГOВ И ТOPМOЗНЫX ТЯГ")</f>
        <v>443 ИЗЛOМ PЫЧAГOВ И ТOPМOЗНЫX ТЯГ</v>
      </c>
      <c r="AF110" t="str">
        <f ca="1">IFERROR(__xludf.DUMMYFUNCTION("""COMPUTED_VALUE"""),"35 ЛЬВ")</f>
        <v>35 ЛЬВ</v>
      </c>
      <c r="AG110" t="str">
        <f ca="1">IFERROR(__xludf.DUMMYFUNCTION("""COMPUTED_VALUE"""),"35000 ЗДОЛБУНОВ")</f>
        <v>35000 ЗДОЛБУНОВ</v>
      </c>
      <c r="AH110" t="str">
        <f ca="1">IFERROR(__xludf.DUMMYFUNCTION("""COMPUTED_VALUE"""),"24.07.20 18-00")</f>
        <v>24.07.20 18-00</v>
      </c>
      <c r="AI110" s="21">
        <f ca="1">IFERROR(__xludf.DUMMYFUNCTION("""COMPUTED_VALUE"""),44420.357662037)</f>
        <v>44420.357662037</v>
      </c>
    </row>
    <row r="111" spans="1:35" ht="13" x14ac:dyDescent="0.15">
      <c r="A111">
        <f ca="1">IFERROR(__xludf.DUMMYFUNCTION("""COMPUTED_VALUE"""),424)</f>
        <v>424</v>
      </c>
      <c r="B111" t="str">
        <f ca="1">IFERROR(__xludf.DUMMYFUNCTION("""COMPUTED_VALUE"""),"Техрейс")</f>
        <v>Техрейс</v>
      </c>
      <c r="C111" t="str">
        <f ca="1">IFERROR(__xludf.DUMMYFUNCTION("""COMPUTED_VALUE"""),"АЛЬФА ГРУПП КИЕВ")</f>
        <v>АЛЬФА ГРУПП КИЕВ</v>
      </c>
      <c r="D111">
        <f ca="1">IFERROR(__xludf.DUMMYFUNCTION("""COMPUTED_VALUE"""),64237977)</f>
        <v>64237977</v>
      </c>
      <c r="E111" t="str">
        <f ca="1">IFERROR(__xludf.DUMMYFUNCTION("""COMPUTED_VALUE"""),"60 ПОЛУВАГОНЫ")</f>
        <v>60 ПОЛУВАГОНЫ</v>
      </c>
      <c r="F111">
        <f ca="1">IFERROR(__xludf.DUMMYFUNCTION("""COMPUTED_VALUE"""),42103)</f>
        <v>42103</v>
      </c>
      <c r="G111" t="str">
        <f ca="1">IFERROR(__xludf.DUMMYFUNCTION("""COMPUTED_VALUE"""),"ВАГОНЫ ЖД СВ")</f>
        <v>ВАГОНЫ ЖД СВ</v>
      </c>
      <c r="H111">
        <f ca="1">IFERROR(__xludf.DUMMYFUNCTION("""COMPUTED_VALUE"""),0)</f>
        <v>0</v>
      </c>
      <c r="I111">
        <f ca="1">IFERROR(__xludf.DUMMYFUNCTION("""COMPUTED_VALUE"""),5343)</f>
        <v>5343</v>
      </c>
      <c r="J111" t="str">
        <f ca="1">IFERROR(__xludf.DUMMYFUNCTION("""COMPUTED_VALUE"""),"2001 (40050-079-46720) БЕРЕГОВАЯ - КРИВОЙ РОГ")</f>
        <v>2001 (40050-079-46720) БЕРЕГОВАЯ - КРИВОЙ РОГ</v>
      </c>
      <c r="K111">
        <f ca="1">IFERROR(__xludf.DUMMYFUNCTION("""COMPUTED_VALUE"""),40050)</f>
        <v>40050</v>
      </c>
      <c r="L111" t="str">
        <f ca="1">IFERROR(__xludf.DUMMYFUNCTION("""COMPUTED_VALUE"""),"БЕРЕГОВАЯ")</f>
        <v>БЕРЕГОВАЯ</v>
      </c>
      <c r="M111" t="str">
        <f ca="1">IFERROR(__xludf.DUMMYFUNCTION("""COMPUTED_VALUE"""),"12.08.21 05-23")</f>
        <v>12.08.21 05-23</v>
      </c>
      <c r="N111" t="str">
        <f ca="1">IFERROR(__xludf.DUMMYFUNCTION("""COMPUTED_VALUE"""),"05 ФОРМ")</f>
        <v>05 ФОРМ</v>
      </c>
      <c r="O111">
        <f ca="1">IFERROR(__xludf.DUMMYFUNCTION("""COMPUTED_VALUE"""),46720)</f>
        <v>46720</v>
      </c>
      <c r="P111" t="str">
        <f ca="1">IFERROR(__xludf.DUMMYFUNCTION("""COMPUTED_VALUE"""),"КРИВОЙ РОГ")</f>
        <v>КРИВОЙ РОГ</v>
      </c>
      <c r="Q111">
        <f ca="1">IFERROR(__xludf.DUMMYFUNCTION("""COMPUTED_VALUE"""),40050)</f>
        <v>40050</v>
      </c>
      <c r="R111" t="str">
        <f ca="1">IFERROR(__xludf.DUMMYFUNCTION("""COMPUTED_VALUE"""),"БЕРЕГОВАЯ")</f>
        <v>БЕРЕГОВАЯ</v>
      </c>
      <c r="S111" t="str">
        <f ca="1">IFERROR(__xludf.DUMMYFUNCTION("""COMPUTED_VALUE"""),"12.08.21 03-50")</f>
        <v>12.08.21 03-50</v>
      </c>
      <c r="T111">
        <f ca="1">IFERROR(__xludf.DUMMYFUNCTION("""COMPUTED_VALUE"""),8200)</f>
        <v>8200</v>
      </c>
      <c r="U111" t="str">
        <f ca="1">IFERROR(__xludf.DUMMYFUNCTION("""COMPUTED_VALUE"""),"24.05.2022 ДР")</f>
        <v>24.05.2022 ДР</v>
      </c>
      <c r="Z111" t="str">
        <f ca="1">IFERROR(__xludf.DUMMYFUNCTION("""COMPUTED_VALUE"""),"ПАО «ПУМБ»")</f>
        <v>ПАО «ПУМБ»</v>
      </c>
      <c r="AA111" t="str">
        <f ca="1">IFERROR(__xludf.DUMMYFUNCTION("""COMPUTED_VALUE"""),"12-9745")</f>
        <v>12-9745</v>
      </c>
      <c r="AB111" t="str">
        <f ca="1">IFERROR(__xludf.DUMMYFUNCTION("""COMPUTED_VALUE"""),"35 ЛЬВ")</f>
        <v>35 ЛЬВ</v>
      </c>
      <c r="AC111" t="str">
        <f ca="1">IFERROR(__xludf.DUMMYFUNCTION("""COMPUTED_VALUE"""),"35400 КОВЕЛЬ")</f>
        <v>35400 КОВЕЛЬ</v>
      </c>
      <c r="AD111" t="str">
        <f ca="1">IFERROR(__xludf.DUMMYFUNCTION("""COMPUTED_VALUE"""),"02.05.21 01-11")</f>
        <v>02.05.21 01-11</v>
      </c>
      <c r="AE111" t="str">
        <f ca="1">IFERROR(__xludf.DUMMYFUNCTION("""COMPUTED_VALUE"""),"405 НEИCПPAВНOCТЬ КOНЦEВOГO КPAНA")</f>
        <v>405 НEИCПPAВНOCТЬ КOНЦEВOГO КPAНA</v>
      </c>
      <c r="AF111" t="str">
        <f ca="1">IFERROR(__xludf.DUMMYFUNCTION("""COMPUTED_VALUE"""),"35 ЛЬВ")</f>
        <v>35 ЛЬВ</v>
      </c>
      <c r="AG111" t="str">
        <f ca="1">IFERROR(__xludf.DUMMYFUNCTION("""COMPUTED_VALUE"""),"35400 КОВЕЛЬ")</f>
        <v>35400 КОВЕЛЬ</v>
      </c>
      <c r="AH111" t="str">
        <f ca="1">IFERROR(__xludf.DUMMYFUNCTION("""COMPUTED_VALUE"""),"07.05.21 18-30")</f>
        <v>07.05.21 18-30</v>
      </c>
      <c r="AI111" s="21">
        <f ca="1">IFERROR(__xludf.DUMMYFUNCTION("""COMPUTED_VALUE"""),44420.357662037)</f>
        <v>44420.357662037</v>
      </c>
    </row>
    <row r="112" spans="1:35" ht="13" x14ac:dyDescent="0.15">
      <c r="A112">
        <f ca="1">IFERROR(__xludf.DUMMYFUNCTION("""COMPUTED_VALUE"""),425)</f>
        <v>425</v>
      </c>
      <c r="B112" t="str">
        <f ca="1">IFERROR(__xludf.DUMMYFUNCTION("""COMPUTED_VALUE"""),"Подольский цемент")</f>
        <v>Подольский цемент</v>
      </c>
      <c r="C112" t="str">
        <f ca="1">IFERROR(__xludf.DUMMYFUNCTION("""COMPUTED_VALUE"""),"АЛЬФА ГРУПП КИЕВ")</f>
        <v>АЛЬФА ГРУПП КИЕВ</v>
      </c>
      <c r="D112">
        <f ca="1">IFERROR(__xludf.DUMMYFUNCTION("""COMPUTED_VALUE"""),64237969)</f>
        <v>64237969</v>
      </c>
      <c r="E112" t="str">
        <f ca="1">IFERROR(__xludf.DUMMYFUNCTION("""COMPUTED_VALUE"""),"60 ПОЛУВАГОНЫ")</f>
        <v>60 ПОЛУВАГОНЫ</v>
      </c>
      <c r="F112">
        <f ca="1">IFERROR(__xludf.DUMMYFUNCTION("""COMPUTED_VALUE"""),42103)</f>
        <v>42103</v>
      </c>
      <c r="G112" t="str">
        <f ca="1">IFERROR(__xludf.DUMMYFUNCTION("""COMPUTED_VALUE"""),"ВАГОНЫ ЖД СВ")</f>
        <v>ВАГОНЫ ЖД СВ</v>
      </c>
      <c r="H112">
        <f ca="1">IFERROR(__xludf.DUMMYFUNCTION("""COMPUTED_VALUE"""),0)</f>
        <v>0</v>
      </c>
      <c r="I112">
        <f ca="1">IFERROR(__xludf.DUMMYFUNCTION("""COMPUTED_VALUE"""),973)</f>
        <v>973</v>
      </c>
      <c r="J112" t="str">
        <f ca="1">IFERROR(__xludf.DUMMYFUNCTION("""COMPUTED_VALUE"""),"3001 (40510-303-40200) ОДЕССА-ЗАС I - ЧЕРНОМОРСК-П")</f>
        <v>3001 (40510-303-40200) ОДЕССА-ЗАС I - ЧЕРНОМОРСК-П</v>
      </c>
      <c r="K112">
        <f ca="1">IFERROR(__xludf.DUMMYFUNCTION("""COMPUTED_VALUE"""),40200)</f>
        <v>40200</v>
      </c>
      <c r="L112" t="str">
        <f ca="1">IFERROR(__xludf.DUMMYFUNCTION("""COMPUTED_VALUE"""),"ЧЕРНОМОРСК-П")</f>
        <v>ЧЕРНОМОРСК-П</v>
      </c>
      <c r="M112" t="str">
        <f ca="1">IFERROR(__xludf.DUMMYFUNCTION("""COMPUTED_VALUE"""),"11.08.21 13-01")</f>
        <v>11.08.21 13-01</v>
      </c>
      <c r="N112" t="str">
        <f ca="1">IFERROR(__xludf.DUMMYFUNCTION("""COMPUTED_VALUE"""),"85 ПРСТ")</f>
        <v>85 ПРСТ</v>
      </c>
      <c r="O112">
        <f ca="1">IFERROR(__xludf.DUMMYFUNCTION("""COMPUTED_VALUE"""),40200)</f>
        <v>40200</v>
      </c>
      <c r="P112" t="str">
        <f ca="1">IFERROR(__xludf.DUMMYFUNCTION("""COMPUTED_VALUE"""),"ЧЕРНОМОРСК-П")</f>
        <v>ЧЕРНОМОРСК-П</v>
      </c>
      <c r="Q112">
        <f ca="1">IFERROR(__xludf.DUMMYFUNCTION("""COMPUTED_VALUE"""),40510)</f>
        <v>40510</v>
      </c>
      <c r="R112" t="str">
        <f ca="1">IFERROR(__xludf.DUMMYFUNCTION("""COMPUTED_VALUE"""),"ОДЕССА-ЗАС I")</f>
        <v>ОДЕССА-ЗАС I</v>
      </c>
      <c r="S112" t="str">
        <f ca="1">IFERROR(__xludf.DUMMYFUNCTION("""COMPUTED_VALUE"""),"09.08.21 17-45")</f>
        <v>09.08.21 17-45</v>
      </c>
      <c r="T112">
        <f ca="1">IFERROR(__xludf.DUMMYFUNCTION("""COMPUTED_VALUE"""),1451)</f>
        <v>1451</v>
      </c>
      <c r="U112" t="str">
        <f ca="1">IFERROR(__xludf.DUMMYFUNCTION("""COMPUTED_VALUE"""),"24.05.2022 ДР")</f>
        <v>24.05.2022 ДР</v>
      </c>
      <c r="Z112" t="str">
        <f ca="1">IFERROR(__xludf.DUMMYFUNCTION("""COMPUTED_VALUE"""),"ПАО «ПУМБ»")</f>
        <v>ПАО «ПУМБ»</v>
      </c>
      <c r="AA112" t="str">
        <f ca="1">IFERROR(__xludf.DUMMYFUNCTION("""COMPUTED_VALUE"""),"12-9745")</f>
        <v>12-9745</v>
      </c>
      <c r="AI112" s="21">
        <f ca="1">IFERROR(__xludf.DUMMYFUNCTION("""COMPUTED_VALUE"""),44420.357662037)</f>
        <v>44420.357662037</v>
      </c>
    </row>
    <row r="113" spans="1:35" ht="13" x14ac:dyDescent="0.15">
      <c r="A113">
        <f ca="1">IFERROR(__xludf.DUMMYFUNCTION("""COMPUTED_VALUE"""),426)</f>
        <v>426</v>
      </c>
      <c r="B113" t="str">
        <f ca="1">IFERROR(__xludf.DUMMYFUNCTION("""COMPUTED_VALUE"""),"ГРАНІТ-ЮГ С")</f>
        <v>ГРАНІТ-ЮГ С</v>
      </c>
      <c r="C113" t="str">
        <f ca="1">IFERROR(__xludf.DUMMYFUNCTION("""COMPUTED_VALUE"""),"АЛЬФА ГРУПП КИЕВ")</f>
        <v>АЛЬФА ГРУПП КИЕВ</v>
      </c>
      <c r="D113">
        <f ca="1">IFERROR(__xludf.DUMMYFUNCTION("""COMPUTED_VALUE"""),64238058)</f>
        <v>64238058</v>
      </c>
      <c r="E113" t="str">
        <f ca="1">IFERROR(__xludf.DUMMYFUNCTION("""COMPUTED_VALUE"""),"60 ПОЛУВАГОНЫ")</f>
        <v>60 ПОЛУВАГОНЫ</v>
      </c>
      <c r="F113">
        <f ca="1">IFERROR(__xludf.DUMMYFUNCTION("""COMPUTED_VALUE"""),23225)</f>
        <v>23225</v>
      </c>
      <c r="G113" t="str">
        <f ca="1">IFERROR(__xludf.DUMMYFUNCTION("""COMPUTED_VALUE"""),"ОТСЕВ ГРАН КАМ")</f>
        <v>ОТСЕВ ГРАН КАМ</v>
      </c>
      <c r="H113">
        <f ca="1">IFERROR(__xludf.DUMMYFUNCTION("""COMPUTED_VALUE"""),70)</f>
        <v>70</v>
      </c>
      <c r="I113">
        <f ca="1">IFERROR(__xludf.DUMMYFUNCTION("""COMPUTED_VALUE"""),1879)</f>
        <v>1879</v>
      </c>
      <c r="J113" t="str">
        <f ca="1">IFERROR(__xludf.DUMMYFUNCTION("""COMPUTED_VALUE"""),"2721 (40510-351-40020) ОДЕССА-ЗАС I - ОДЕС-ТОВАРН")</f>
        <v>2721 (40510-351-40020) ОДЕССА-ЗАС I - ОДЕС-ТОВАРН</v>
      </c>
      <c r="K113">
        <f ca="1">IFERROR(__xludf.DUMMYFUNCTION("""COMPUTED_VALUE"""),40130)</f>
        <v>40130</v>
      </c>
      <c r="L113" t="str">
        <f ca="1">IFERROR(__xludf.DUMMYFUNCTION("""COMPUTED_VALUE"""),"ОДЕС-ЗАС II")</f>
        <v>ОДЕС-ЗАС II</v>
      </c>
      <c r="M113" t="str">
        <f ca="1">IFERROR(__xludf.DUMMYFUNCTION("""COMPUTED_VALUE"""),"11.08.21 20-30")</f>
        <v>11.08.21 20-30</v>
      </c>
      <c r="N113" t="str">
        <f ca="1">IFERROR(__xludf.DUMMYFUNCTION("""COMPUTED_VALUE"""),"21 ВЫГ2")</f>
        <v>21 ВЫГ2</v>
      </c>
      <c r="O113">
        <f ca="1">IFERROR(__xludf.DUMMYFUNCTION("""COMPUTED_VALUE"""),40130)</f>
        <v>40130</v>
      </c>
      <c r="P113" t="str">
        <f ca="1">IFERROR(__xludf.DUMMYFUNCTION("""COMPUTED_VALUE"""),"ОДЕС-ЗАС II")</f>
        <v>ОДЕС-ЗАС II</v>
      </c>
      <c r="Q113">
        <f ca="1">IFERROR(__xludf.DUMMYFUNCTION("""COMPUTED_VALUE"""),41190)</f>
        <v>41190</v>
      </c>
      <c r="R113" t="str">
        <f ca="1">IFERROR(__xludf.DUMMYFUNCTION("""COMPUTED_VALUE"""),"ПОМОШНАЯ")</f>
        <v>ПОМОШНАЯ</v>
      </c>
      <c r="S113" t="str">
        <f ca="1">IFERROR(__xludf.DUMMYFUNCTION("""COMPUTED_VALUE"""),"09.08.21 16-55")</f>
        <v>09.08.21 16-55</v>
      </c>
      <c r="U113" t="str">
        <f ca="1">IFERROR(__xludf.DUMMYFUNCTION("""COMPUTED_VALUE"""),"28.05.2022 ДР")</f>
        <v>28.05.2022 ДР</v>
      </c>
      <c r="Z113" t="str">
        <f ca="1">IFERROR(__xludf.DUMMYFUNCTION("""COMPUTED_VALUE"""),"ПАО «ПУМБ»")</f>
        <v>ПАО «ПУМБ»</v>
      </c>
      <c r="AA113" t="str">
        <f ca="1">IFERROR(__xludf.DUMMYFUNCTION("""COMPUTED_VALUE"""),"12-9745")</f>
        <v>12-9745</v>
      </c>
      <c r="AI113" s="21">
        <f ca="1">IFERROR(__xludf.DUMMYFUNCTION("""COMPUTED_VALUE"""),44420.357662037)</f>
        <v>44420.357662037</v>
      </c>
    </row>
    <row r="114" spans="1:35" ht="13" x14ac:dyDescent="0.15">
      <c r="A114">
        <f ca="1">IFERROR(__xludf.DUMMYFUNCTION("""COMPUTED_VALUE"""),427)</f>
        <v>427</v>
      </c>
      <c r="B114" t="str">
        <f ca="1">IFERROR(__xludf.DUMMYFUNCTION("""COMPUTED_VALUE"""),"Техрейс")</f>
        <v>Техрейс</v>
      </c>
      <c r="C114" t="str">
        <f ca="1">IFERROR(__xludf.DUMMYFUNCTION("""COMPUTED_VALUE"""),"АЛЬФА ГРУПП КИЕВ")</f>
        <v>АЛЬФА ГРУПП КИЕВ</v>
      </c>
      <c r="D114">
        <f ca="1">IFERROR(__xludf.DUMMYFUNCTION("""COMPUTED_VALUE"""),64238066)</f>
        <v>64238066</v>
      </c>
      <c r="E114" t="str">
        <f ca="1">IFERROR(__xludf.DUMMYFUNCTION("""COMPUTED_VALUE"""),"60 ПОЛУВАГОНЫ")</f>
        <v>60 ПОЛУВАГОНЫ</v>
      </c>
      <c r="F114">
        <f ca="1">IFERROR(__xludf.DUMMYFUNCTION("""COMPUTED_VALUE"""),42103)</f>
        <v>42103</v>
      </c>
      <c r="G114" t="str">
        <f ca="1">IFERROR(__xludf.DUMMYFUNCTION("""COMPUTED_VALUE"""),"ВАГОНЫ ЖД СВ")</f>
        <v>ВАГОНЫ ЖД СВ</v>
      </c>
      <c r="H114">
        <f ca="1">IFERROR(__xludf.DUMMYFUNCTION("""COMPUTED_VALUE"""),0)</f>
        <v>0</v>
      </c>
      <c r="I114">
        <f ca="1">IFERROR(__xludf.DUMMYFUNCTION("""COMPUTED_VALUE"""),4307)</f>
        <v>4307</v>
      </c>
      <c r="J114" t="str">
        <f ca="1">IFERROR(__xludf.DUMMYFUNCTION("""COMPUTED_VALUE"""),"3001 (40110-067-40000) ЧЕРНОМОРСКАЯ - ОДЕССА-СОРТ")</f>
        <v>3001 (40110-067-40000) ЧЕРНОМОРСКАЯ - ОДЕССА-СОРТ</v>
      </c>
      <c r="K114">
        <f ca="1">IFERROR(__xludf.DUMMYFUNCTION("""COMPUTED_VALUE"""),40100)</f>
        <v>40100</v>
      </c>
      <c r="L114" t="str">
        <f ca="1">IFERROR(__xludf.DUMMYFUNCTION("""COMPUTED_VALUE"""),"КРЕМИДОВКА")</f>
        <v>КРЕМИДОВКА</v>
      </c>
      <c r="M114" t="str">
        <f ca="1">IFERROR(__xludf.DUMMYFUNCTION("""COMPUTED_VALUE"""),"11.08.21 04-21")</f>
        <v>11.08.21 04-21</v>
      </c>
      <c r="N114" t="str">
        <f ca="1">IFERROR(__xludf.DUMMYFUNCTION("""COMPUTED_VALUE"""),"01 ПРИБ")</f>
        <v>01 ПРИБ</v>
      </c>
      <c r="O114">
        <f ca="1">IFERROR(__xludf.DUMMYFUNCTION("""COMPUTED_VALUE"""),40200)</f>
        <v>40200</v>
      </c>
      <c r="P114" t="str">
        <f ca="1">IFERROR(__xludf.DUMMYFUNCTION("""COMPUTED_VALUE"""),"ЧЕРНОМОРСК-П")</f>
        <v>ЧЕРНОМОРСК-П</v>
      </c>
      <c r="Q114">
        <f ca="1">IFERROR(__xludf.DUMMYFUNCTION("""COMPUTED_VALUE"""),40050)</f>
        <v>40050</v>
      </c>
      <c r="R114" t="str">
        <f ca="1">IFERROR(__xludf.DUMMYFUNCTION("""COMPUTED_VALUE"""),"БЕРЕГОВАЯ")</f>
        <v>БЕРЕГОВАЯ</v>
      </c>
      <c r="S114" t="str">
        <f ca="1">IFERROR(__xludf.DUMMYFUNCTION("""COMPUTED_VALUE"""),"07.08.21 07-10")</f>
        <v>07.08.21 07-10</v>
      </c>
      <c r="T114">
        <f ca="1">IFERROR(__xludf.DUMMYFUNCTION("""COMPUTED_VALUE"""),8200)</f>
        <v>8200</v>
      </c>
      <c r="U114" t="str">
        <f ca="1">IFERROR(__xludf.DUMMYFUNCTION("""COMPUTED_VALUE"""),"28.05.2022 ДР")</f>
        <v>28.05.2022 ДР</v>
      </c>
      <c r="Z114" t="str">
        <f ca="1">IFERROR(__xludf.DUMMYFUNCTION("""COMPUTED_VALUE"""),"ПАО «ПУМБ»")</f>
        <v>ПАО «ПУМБ»</v>
      </c>
      <c r="AA114" t="str">
        <f ca="1">IFERROR(__xludf.DUMMYFUNCTION("""COMPUTED_VALUE"""),"12-9745")</f>
        <v>12-9745</v>
      </c>
      <c r="AB114" t="str">
        <f ca="1">IFERROR(__xludf.DUMMYFUNCTION("""COMPUTED_VALUE"""),"45 ПРИДН")</f>
        <v>45 ПРИДН</v>
      </c>
      <c r="AC114" t="str">
        <f ca="1">IFERROR(__xludf.DUMMYFUNCTION("""COMPUTED_VALUE"""),"45580 КАМЕНСКОЕ")</f>
        <v>45580 КАМЕНСКОЕ</v>
      </c>
      <c r="AD114" t="str">
        <f ca="1">IFERROR(__xludf.DUMMYFUNCTION("""COMPUTED_VALUE"""),"14.04.21 15-40")</f>
        <v>14.04.21 15-40</v>
      </c>
      <c r="AE114" t="str">
        <f ca="1">IFERROR(__xludf.DUMMYFUNCTION("""COMPUTED_VALUE"""),"404 НEИCПPAВНОСТЬ ТOPМOЗНOГO ЦИЛИНДPA")</f>
        <v>404 НEИCПPAВНОСТЬ ТOPМOЗНOГO ЦИЛИНДPA</v>
      </c>
      <c r="AF114" t="str">
        <f ca="1">IFERROR(__xludf.DUMMYFUNCTION("""COMPUTED_VALUE"""),"45 ПРИДН")</f>
        <v>45 ПРИДН</v>
      </c>
      <c r="AG114" t="str">
        <f ca="1">IFERROR(__xludf.DUMMYFUNCTION("""COMPUTED_VALUE"""),"45580 КАМЕНСКОЕ")</f>
        <v>45580 КАМЕНСКОЕ</v>
      </c>
      <c r="AH114" t="str">
        <f ca="1">IFERROR(__xludf.DUMMYFUNCTION("""COMPUTED_VALUE"""),"27.04.21 13-30")</f>
        <v>27.04.21 13-30</v>
      </c>
      <c r="AI114" s="21">
        <f ca="1">IFERROR(__xludf.DUMMYFUNCTION("""COMPUTED_VALUE"""),44420.357662037)</f>
        <v>44420.357662037</v>
      </c>
    </row>
    <row r="115" spans="1:35" ht="13" x14ac:dyDescent="0.15">
      <c r="A115">
        <f ca="1">IFERROR(__xludf.DUMMYFUNCTION("""COMPUTED_VALUE"""),428)</f>
        <v>428</v>
      </c>
      <c r="B115" t="str">
        <f ca="1">IFERROR(__xludf.DUMMYFUNCTION("""COMPUTED_VALUE"""),"Подольский цемент")</f>
        <v>Подольский цемент</v>
      </c>
      <c r="C115" t="str">
        <f ca="1">IFERROR(__xludf.DUMMYFUNCTION("""COMPUTED_VALUE"""),"АЛЬФА ГРУПП КИЕВ")</f>
        <v>АЛЬФА ГРУПП КИЕВ</v>
      </c>
      <c r="D115">
        <f ca="1">IFERROR(__xludf.DUMMYFUNCTION("""COMPUTED_VALUE"""),64238074)</f>
        <v>64238074</v>
      </c>
      <c r="E115" t="str">
        <f ca="1">IFERROR(__xludf.DUMMYFUNCTION("""COMPUTED_VALUE"""),"60 ПОЛУВАГОНЫ")</f>
        <v>60 ПОЛУВАГОНЫ</v>
      </c>
      <c r="F115">
        <f ca="1">IFERROR(__xludf.DUMMYFUNCTION("""COMPUTED_VALUE"""),42103)</f>
        <v>42103</v>
      </c>
      <c r="G115" t="str">
        <f ca="1">IFERROR(__xludf.DUMMYFUNCTION("""COMPUTED_VALUE"""),"ВАГОНЫ ЖД СВ")</f>
        <v>ВАГОНЫ ЖД СВ</v>
      </c>
      <c r="H115">
        <f ca="1">IFERROR(__xludf.DUMMYFUNCTION("""COMPUTED_VALUE"""),0)</f>
        <v>0</v>
      </c>
      <c r="I115">
        <f ca="1">IFERROR(__xludf.DUMMYFUNCTION("""COMPUTED_VALUE"""),5268)</f>
        <v>5268</v>
      </c>
      <c r="J115" t="str">
        <f ca="1">IFERROR(__xludf.DUMMYFUNCTION("""COMPUTED_VALUE"""),"2222 (37780-018-37000) НИКОЛАЕВ-ДН - ЛЬВОВ")</f>
        <v>2222 (37780-018-37000) НИКОЛАЕВ-ДН - ЛЬВОВ</v>
      </c>
      <c r="K115">
        <f ca="1">IFERROR(__xludf.DUMMYFUNCTION("""COMPUTED_VALUE"""),37780)</f>
        <v>37780</v>
      </c>
      <c r="L115" t="str">
        <f ca="1">IFERROR(__xludf.DUMMYFUNCTION("""COMPUTED_VALUE"""),"НИКОЛАЕВ-ДН")</f>
        <v>НИКОЛАЕВ-ДН</v>
      </c>
      <c r="M115" t="str">
        <f ca="1">IFERROR(__xludf.DUMMYFUNCTION("""COMPUTED_VALUE"""),"08.08.21 10-00")</f>
        <v>08.08.21 10-00</v>
      </c>
      <c r="N115" t="str">
        <f ca="1">IFERROR(__xludf.DUMMYFUNCTION("""COMPUTED_VALUE"""),"91 ПРДР")</f>
        <v>91 ПРДР</v>
      </c>
      <c r="O115">
        <f ca="1">IFERROR(__xludf.DUMMYFUNCTION("""COMPUTED_VALUE"""),33300)</f>
        <v>33300</v>
      </c>
      <c r="P115" t="str">
        <f ca="1">IFERROR(__xludf.DUMMYFUNCTION("""COMPUTED_VALUE"""),"ГУМЕНЦЫ")</f>
        <v>ГУМЕНЦЫ</v>
      </c>
      <c r="Q115">
        <f ca="1">IFERROR(__xludf.DUMMYFUNCTION("""COMPUTED_VALUE"""),37780)</f>
        <v>37780</v>
      </c>
      <c r="R115" t="str">
        <f ca="1">IFERROR(__xludf.DUMMYFUNCTION("""COMPUTED_VALUE"""),"НИКОЛАЕВ-ДН")</f>
        <v>НИКОЛАЕВ-ДН</v>
      </c>
      <c r="S115" t="str">
        <f ca="1">IFERROR(__xludf.DUMMYFUNCTION("""COMPUTED_VALUE"""),"08.08.21 10-00")</f>
        <v>08.08.21 10-00</v>
      </c>
      <c r="T115">
        <f ca="1">IFERROR(__xludf.DUMMYFUNCTION("""COMPUTED_VALUE"""),1489)</f>
        <v>1489</v>
      </c>
      <c r="U115" t="str">
        <f ca="1">IFERROR(__xludf.DUMMYFUNCTION("""COMPUTED_VALUE"""),"28.05.2022 ДР")</f>
        <v>28.05.2022 ДР</v>
      </c>
      <c r="Z115" t="str">
        <f ca="1">IFERROR(__xludf.DUMMYFUNCTION("""COMPUTED_VALUE"""),"ПАО «ПУМБ»")</f>
        <v>ПАО «ПУМБ»</v>
      </c>
      <c r="AA115" t="str">
        <f ca="1">IFERROR(__xludf.DUMMYFUNCTION("""COMPUTED_VALUE"""),"12-9745")</f>
        <v>12-9745</v>
      </c>
      <c r="AI115" s="21">
        <f ca="1">IFERROR(__xludf.DUMMYFUNCTION("""COMPUTED_VALUE"""),44420.357662037)</f>
        <v>44420.357662037</v>
      </c>
    </row>
    <row r="116" spans="1:35" ht="13" x14ac:dyDescent="0.15">
      <c r="A116">
        <f ca="1">IFERROR(__xludf.DUMMYFUNCTION("""COMPUTED_VALUE"""),429)</f>
        <v>429</v>
      </c>
      <c r="B116" t="str">
        <f ca="1">IFERROR(__xludf.DUMMYFUNCTION("""COMPUTED_VALUE"""),"Техрейс")</f>
        <v>Техрейс</v>
      </c>
      <c r="C116" t="str">
        <f ca="1">IFERROR(__xludf.DUMMYFUNCTION("""COMPUTED_VALUE"""),"АЛЬФА ГРУПП КИЕВ")</f>
        <v>АЛЬФА ГРУПП КИЕВ</v>
      </c>
      <c r="D116">
        <f ca="1">IFERROR(__xludf.DUMMYFUNCTION("""COMPUTED_VALUE"""),64238108)</f>
        <v>64238108</v>
      </c>
      <c r="E116" t="str">
        <f ca="1">IFERROR(__xludf.DUMMYFUNCTION("""COMPUTED_VALUE"""),"60 ПОЛУВАГОНЫ")</f>
        <v>60 ПОЛУВАГОНЫ</v>
      </c>
      <c r="F116">
        <f ca="1">IFERROR(__xludf.DUMMYFUNCTION("""COMPUTED_VALUE"""),42103)</f>
        <v>42103</v>
      </c>
      <c r="G116" t="str">
        <f ca="1">IFERROR(__xludf.DUMMYFUNCTION("""COMPUTED_VALUE"""),"ВАГОНЫ ЖД СВ")</f>
        <v>ВАГОНЫ ЖД СВ</v>
      </c>
      <c r="H116">
        <f ca="1">IFERROR(__xludf.DUMMYFUNCTION("""COMPUTED_VALUE"""),0)</f>
        <v>0</v>
      </c>
      <c r="I116">
        <f ca="1">IFERROR(__xludf.DUMMYFUNCTION("""COMPUTED_VALUE"""),5343)</f>
        <v>5343</v>
      </c>
      <c r="J116" t="str">
        <f ca="1">IFERROR(__xludf.DUMMYFUNCTION("""COMPUTED_VALUE"""),"3501 (46720-470-40060) КРИВОЙ РОГ - БЕРЕГОВАЯ-Э")</f>
        <v>3501 (46720-470-40060) КРИВОЙ РОГ - БЕРЕГОВАЯ-Э</v>
      </c>
      <c r="K116">
        <f ca="1">IFERROR(__xludf.DUMMYFUNCTION("""COMPUTED_VALUE"""),46720)</f>
        <v>46720</v>
      </c>
      <c r="L116" t="str">
        <f ca="1">IFERROR(__xludf.DUMMYFUNCTION("""COMPUTED_VALUE"""),"КРИВОЙ РОГ")</f>
        <v>КРИВОЙ РОГ</v>
      </c>
      <c r="M116" t="str">
        <f ca="1">IFERROR(__xludf.DUMMYFUNCTION("""COMPUTED_VALUE"""),"11.08.21 16-30")</f>
        <v>11.08.21 16-30</v>
      </c>
      <c r="N116" t="str">
        <f ca="1">IFERROR(__xludf.DUMMYFUNCTION("""COMPUTED_VALUE"""),"98 ОТОТ")</f>
        <v>98 ОТОТ</v>
      </c>
      <c r="O116">
        <f ca="1">IFERROR(__xludf.DUMMYFUNCTION("""COMPUTED_VALUE"""),46720)</f>
        <v>46720</v>
      </c>
      <c r="P116" t="str">
        <f ca="1">IFERROR(__xludf.DUMMYFUNCTION("""COMPUTED_VALUE"""),"КРИВОЙ РОГ")</f>
        <v>КРИВОЙ РОГ</v>
      </c>
      <c r="Q116">
        <f ca="1">IFERROR(__xludf.DUMMYFUNCTION("""COMPUTED_VALUE"""),40050)</f>
        <v>40050</v>
      </c>
      <c r="R116" t="str">
        <f ca="1">IFERROR(__xludf.DUMMYFUNCTION("""COMPUTED_VALUE"""),"БЕРЕГОВАЯ")</f>
        <v>БЕРЕГОВАЯ</v>
      </c>
      <c r="S116" t="str">
        <f ca="1">IFERROR(__xludf.DUMMYFUNCTION("""COMPUTED_VALUE"""),"10.08.21 04-50")</f>
        <v>10.08.21 04-50</v>
      </c>
      <c r="T116">
        <f ca="1">IFERROR(__xludf.DUMMYFUNCTION("""COMPUTED_VALUE"""),8200)</f>
        <v>8200</v>
      </c>
      <c r="U116" t="str">
        <f ca="1">IFERROR(__xludf.DUMMYFUNCTION("""COMPUTED_VALUE"""),"28.05.2022 ДР")</f>
        <v>28.05.2022 ДР</v>
      </c>
      <c r="Z116" t="str">
        <f ca="1">IFERROR(__xludf.DUMMYFUNCTION("""COMPUTED_VALUE"""),"ПАО «ПУМБ»")</f>
        <v>ПАО «ПУМБ»</v>
      </c>
      <c r="AA116" t="str">
        <f ca="1">IFERROR(__xludf.DUMMYFUNCTION("""COMPUTED_VALUE"""),"12-9745")</f>
        <v>12-9745</v>
      </c>
      <c r="AB116" t="str">
        <f ca="1">IFERROR(__xludf.DUMMYFUNCTION("""COMPUTED_VALUE"""),"43 ЮЖН")</f>
        <v>43 ЮЖН</v>
      </c>
      <c r="AC116" t="str">
        <f ca="1">IFERROR(__xludf.DUMMYFUNCTION("""COMPUTED_VALUE"""),"42560 ЗОЛОТНИШИНО")</f>
        <v>42560 ЗОЛОТНИШИНО</v>
      </c>
      <c r="AD116" t="str">
        <f ca="1">IFERROR(__xludf.DUMMYFUNCTION("""COMPUTED_VALUE"""),"05.10.20 15-21")</f>
        <v>05.10.20 15-21</v>
      </c>
      <c r="AE116" t="str">
        <f ca="1">IFERROR(__xludf.DUMMYFUNCTION("""COMPUTED_VALUE"""),"540 НEИCПPAВНOCТЬ ЗAПOPA ЛЮКA")</f>
        <v>540 НEИCПPAВНOCТЬ ЗAПOPA ЛЮКA</v>
      </c>
      <c r="AF116" t="str">
        <f ca="1">IFERROR(__xludf.DUMMYFUNCTION("""COMPUTED_VALUE"""),"43 ЮЖН")</f>
        <v>43 ЮЖН</v>
      </c>
      <c r="AG116" t="str">
        <f ca="1">IFERROR(__xludf.DUMMYFUNCTION("""COMPUTED_VALUE"""),"42560 ЗОЛОТНИШИНО")</f>
        <v>42560 ЗОЛОТНИШИНО</v>
      </c>
      <c r="AH116" t="str">
        <f ca="1">IFERROR(__xludf.DUMMYFUNCTION("""COMPUTED_VALUE"""),"07.10.20 12-53")</f>
        <v>07.10.20 12-53</v>
      </c>
      <c r="AI116" s="21">
        <f ca="1">IFERROR(__xludf.DUMMYFUNCTION("""COMPUTED_VALUE"""),44420.357662037)</f>
        <v>44420.357662037</v>
      </c>
    </row>
    <row r="117" spans="1:35" ht="13" x14ac:dyDescent="0.15">
      <c r="A117">
        <f ca="1">IFERROR(__xludf.DUMMYFUNCTION("""COMPUTED_VALUE"""),430)</f>
        <v>430</v>
      </c>
      <c r="B117" t="str">
        <f ca="1">IFERROR(__xludf.DUMMYFUNCTION("""COMPUTED_VALUE"""),"Подольский цемент")</f>
        <v>Подольский цемент</v>
      </c>
      <c r="C117" t="str">
        <f ca="1">IFERROR(__xludf.DUMMYFUNCTION("""COMPUTED_VALUE"""),"АЛЬФА ГРУПП КИЕВ")</f>
        <v>АЛЬФА ГРУПП КИЕВ</v>
      </c>
      <c r="D117">
        <f ca="1">IFERROR(__xludf.DUMMYFUNCTION("""COMPUTED_VALUE"""),64238116)</f>
        <v>64238116</v>
      </c>
      <c r="E117" t="str">
        <f ca="1">IFERROR(__xludf.DUMMYFUNCTION("""COMPUTED_VALUE"""),"60 ПОЛУВАГОНЫ")</f>
        <v>60 ПОЛУВАГОНЫ</v>
      </c>
      <c r="F117">
        <f ca="1">IFERROR(__xludf.DUMMYFUNCTION("""COMPUTED_VALUE"""),42103)</f>
        <v>42103</v>
      </c>
      <c r="G117" t="str">
        <f ca="1">IFERROR(__xludf.DUMMYFUNCTION("""COMPUTED_VALUE"""),"ВАГОНЫ ЖД СВ")</f>
        <v>ВАГОНЫ ЖД СВ</v>
      </c>
      <c r="H117">
        <f ca="1">IFERROR(__xludf.DUMMYFUNCTION("""COMPUTED_VALUE"""),0)</f>
        <v>0</v>
      </c>
      <c r="I117">
        <f ca="1">IFERROR(__xludf.DUMMYFUNCTION("""COMPUTED_VALUE"""),5268)</f>
        <v>5268</v>
      </c>
      <c r="J117" t="str">
        <f ca="1">IFERROR(__xludf.DUMMYFUNCTION("""COMPUTED_VALUE"""),"2222 (37780-018-37000) НИКОЛАЕВ-ДН - ЛЬВОВ")</f>
        <v>2222 (37780-018-37000) НИКОЛАЕВ-ДН - ЛЬВОВ</v>
      </c>
      <c r="K117">
        <f ca="1">IFERROR(__xludf.DUMMYFUNCTION("""COMPUTED_VALUE"""),37780)</f>
        <v>37780</v>
      </c>
      <c r="L117" t="str">
        <f ca="1">IFERROR(__xludf.DUMMYFUNCTION("""COMPUTED_VALUE"""),"НИКОЛАЕВ-ДН")</f>
        <v>НИКОЛАЕВ-ДН</v>
      </c>
      <c r="M117" t="str">
        <f ca="1">IFERROR(__xludf.DUMMYFUNCTION("""COMPUTED_VALUE"""),"08.08.21 10-00")</f>
        <v>08.08.21 10-00</v>
      </c>
      <c r="N117" t="str">
        <f ca="1">IFERROR(__xludf.DUMMYFUNCTION("""COMPUTED_VALUE"""),"91 ПРДР")</f>
        <v>91 ПРДР</v>
      </c>
      <c r="O117">
        <f ca="1">IFERROR(__xludf.DUMMYFUNCTION("""COMPUTED_VALUE"""),33300)</f>
        <v>33300</v>
      </c>
      <c r="P117" t="str">
        <f ca="1">IFERROR(__xludf.DUMMYFUNCTION("""COMPUTED_VALUE"""),"ГУМЕНЦЫ")</f>
        <v>ГУМЕНЦЫ</v>
      </c>
      <c r="Q117">
        <f ca="1">IFERROR(__xludf.DUMMYFUNCTION("""COMPUTED_VALUE"""),37780)</f>
        <v>37780</v>
      </c>
      <c r="R117" t="str">
        <f ca="1">IFERROR(__xludf.DUMMYFUNCTION("""COMPUTED_VALUE"""),"НИКОЛАЕВ-ДН")</f>
        <v>НИКОЛАЕВ-ДН</v>
      </c>
      <c r="S117" t="str">
        <f ca="1">IFERROR(__xludf.DUMMYFUNCTION("""COMPUTED_VALUE"""),"08.08.21 10-00")</f>
        <v>08.08.21 10-00</v>
      </c>
      <c r="T117">
        <f ca="1">IFERROR(__xludf.DUMMYFUNCTION("""COMPUTED_VALUE"""),1489)</f>
        <v>1489</v>
      </c>
      <c r="U117" t="str">
        <f ca="1">IFERROR(__xludf.DUMMYFUNCTION("""COMPUTED_VALUE"""),"28.05.2022 ДР")</f>
        <v>28.05.2022 ДР</v>
      </c>
      <c r="Z117" t="str">
        <f ca="1">IFERROR(__xludf.DUMMYFUNCTION("""COMPUTED_VALUE"""),"ПАО «ПУМБ»")</f>
        <v>ПАО «ПУМБ»</v>
      </c>
      <c r="AA117" t="str">
        <f ca="1">IFERROR(__xludf.DUMMYFUNCTION("""COMPUTED_VALUE"""),"12-9745")</f>
        <v>12-9745</v>
      </c>
      <c r="AB117" t="str">
        <f ca="1">IFERROR(__xludf.DUMMYFUNCTION("""COMPUTED_VALUE"""),"35 ЛЬВ")</f>
        <v>35 ЛЬВ</v>
      </c>
      <c r="AC117" t="str">
        <f ca="1">IFERROR(__xludf.DUMMYFUNCTION("""COMPUTED_VALUE"""),"35000 ЗДОЛБУНОВ")</f>
        <v>35000 ЗДОЛБУНОВ</v>
      </c>
      <c r="AD117" t="str">
        <f ca="1">IFERROR(__xludf.DUMMYFUNCTION("""COMPUTED_VALUE"""),"18.08.20 08-00")</f>
        <v>18.08.20 08-00</v>
      </c>
      <c r="AE117" t="str">
        <f ca="1">IFERROR(__xludf.DUMMYFUNCTION("""COMPUTED_VALUE"""),"441 ОБРЫВ/ИЗЛOМ МAГИCТPAЛИ ВOЗДУXOПPOВOДА И ПОДВОДЯЩИХ ТРУБ")</f>
        <v>441 ОБРЫВ/ИЗЛOМ МAГИCТPAЛИ ВOЗДУXOПPOВOДА И ПОДВОДЯЩИХ ТРУБ</v>
      </c>
      <c r="AF117" t="str">
        <f ca="1">IFERROR(__xludf.DUMMYFUNCTION("""COMPUTED_VALUE"""),"35 ЛЬВ")</f>
        <v>35 ЛЬВ</v>
      </c>
      <c r="AG117" t="str">
        <f ca="1">IFERROR(__xludf.DUMMYFUNCTION("""COMPUTED_VALUE"""),"35000 ЗДОЛБУНОВ")</f>
        <v>35000 ЗДОЛБУНОВ</v>
      </c>
      <c r="AH117" t="str">
        <f ca="1">IFERROR(__xludf.DUMMYFUNCTION("""COMPUTED_VALUE"""),"19.08.20 16-00")</f>
        <v>19.08.20 16-00</v>
      </c>
      <c r="AI117" s="21">
        <f ca="1">IFERROR(__xludf.DUMMYFUNCTION("""COMPUTED_VALUE"""),44420.357662037)</f>
        <v>44420.357662037</v>
      </c>
    </row>
    <row r="118" spans="1:35" ht="13" x14ac:dyDescent="0.15">
      <c r="A118">
        <f ca="1">IFERROR(__xludf.DUMMYFUNCTION("""COMPUTED_VALUE"""),431)</f>
        <v>431</v>
      </c>
      <c r="B118" t="str">
        <f ca="1">IFERROR(__xludf.DUMMYFUNCTION("""COMPUTED_VALUE"""),"ГРАНІТ-ЮГ С")</f>
        <v>ГРАНІТ-ЮГ С</v>
      </c>
      <c r="C118" t="str">
        <f ca="1">IFERROR(__xludf.DUMMYFUNCTION("""COMPUTED_VALUE"""),"АЛЬФА ГРУПП КИЕВ")</f>
        <v>АЛЬФА ГРУПП КИЕВ</v>
      </c>
      <c r="D118">
        <f ca="1">IFERROR(__xludf.DUMMYFUNCTION("""COMPUTED_VALUE"""),64238124)</f>
        <v>64238124</v>
      </c>
      <c r="E118" t="str">
        <f ca="1">IFERROR(__xludf.DUMMYFUNCTION("""COMPUTED_VALUE"""),"60 ПОЛУВАГОНЫ")</f>
        <v>60 ПОЛУВАГОНЫ</v>
      </c>
      <c r="F118">
        <f ca="1">IFERROR(__xludf.DUMMYFUNCTION("""COMPUTED_VALUE"""),23225)</f>
        <v>23225</v>
      </c>
      <c r="G118" t="str">
        <f ca="1">IFERROR(__xludf.DUMMYFUNCTION("""COMPUTED_VALUE"""),"ОТСЕВ ГРАН КАМ")</f>
        <v>ОТСЕВ ГРАН КАМ</v>
      </c>
      <c r="H118">
        <f ca="1">IFERROR(__xludf.DUMMYFUNCTION("""COMPUTED_VALUE"""),70)</f>
        <v>70</v>
      </c>
      <c r="I118">
        <f ca="1">IFERROR(__xludf.DUMMYFUNCTION("""COMPUTED_VALUE"""),1879)</f>
        <v>1879</v>
      </c>
      <c r="J118" t="str">
        <f ca="1">IFERROR(__xludf.DUMMYFUNCTION("""COMPUTED_VALUE"""),"2721 (40510-351-40020) ОДЕССА-ЗАС I - ОДЕС-ТОВАРН")</f>
        <v>2721 (40510-351-40020) ОДЕССА-ЗАС I - ОДЕС-ТОВАРН</v>
      </c>
      <c r="K118">
        <f ca="1">IFERROR(__xludf.DUMMYFUNCTION("""COMPUTED_VALUE"""),40130)</f>
        <v>40130</v>
      </c>
      <c r="L118" t="str">
        <f ca="1">IFERROR(__xludf.DUMMYFUNCTION("""COMPUTED_VALUE"""),"ОДЕС-ЗАС II")</f>
        <v>ОДЕС-ЗАС II</v>
      </c>
      <c r="M118" t="str">
        <f ca="1">IFERROR(__xludf.DUMMYFUNCTION("""COMPUTED_VALUE"""),"11.08.21 20-30")</f>
        <v>11.08.21 20-30</v>
      </c>
      <c r="N118" t="str">
        <f ca="1">IFERROR(__xludf.DUMMYFUNCTION("""COMPUTED_VALUE"""),"21 ВЫГ2")</f>
        <v>21 ВЫГ2</v>
      </c>
      <c r="O118">
        <f ca="1">IFERROR(__xludf.DUMMYFUNCTION("""COMPUTED_VALUE"""),40130)</f>
        <v>40130</v>
      </c>
      <c r="P118" t="str">
        <f ca="1">IFERROR(__xludf.DUMMYFUNCTION("""COMPUTED_VALUE"""),"ОДЕС-ЗАС II")</f>
        <v>ОДЕС-ЗАС II</v>
      </c>
      <c r="Q118">
        <f ca="1">IFERROR(__xludf.DUMMYFUNCTION("""COMPUTED_VALUE"""),41190)</f>
        <v>41190</v>
      </c>
      <c r="R118" t="str">
        <f ca="1">IFERROR(__xludf.DUMMYFUNCTION("""COMPUTED_VALUE"""),"ПОМОШНАЯ")</f>
        <v>ПОМОШНАЯ</v>
      </c>
      <c r="S118" t="str">
        <f ca="1">IFERROR(__xludf.DUMMYFUNCTION("""COMPUTED_VALUE"""),"09.08.21 16-55")</f>
        <v>09.08.21 16-55</v>
      </c>
      <c r="U118" t="str">
        <f ca="1">IFERROR(__xludf.DUMMYFUNCTION("""COMPUTED_VALUE"""),"28.05.2022 ДР")</f>
        <v>28.05.2022 ДР</v>
      </c>
      <c r="Z118" t="str">
        <f ca="1">IFERROR(__xludf.DUMMYFUNCTION("""COMPUTED_VALUE"""),"ПАО «ПУМБ»")</f>
        <v>ПАО «ПУМБ»</v>
      </c>
      <c r="AA118" t="str">
        <f ca="1">IFERROR(__xludf.DUMMYFUNCTION("""COMPUTED_VALUE"""),"12-9745")</f>
        <v>12-9745</v>
      </c>
      <c r="AI118" s="21">
        <f ca="1">IFERROR(__xludf.DUMMYFUNCTION("""COMPUTED_VALUE"""),44420.357662037)</f>
        <v>44420.357662037</v>
      </c>
    </row>
    <row r="119" spans="1:35" ht="13" x14ac:dyDescent="0.15">
      <c r="A119">
        <f ca="1">IFERROR(__xludf.DUMMYFUNCTION("""COMPUTED_VALUE"""),432)</f>
        <v>432</v>
      </c>
      <c r="B119" t="str">
        <f ca="1">IFERROR(__xludf.DUMMYFUNCTION("""COMPUTED_VALUE"""),"ГРАНІТ-ЮГ С")</f>
        <v>ГРАНІТ-ЮГ С</v>
      </c>
      <c r="C119" t="str">
        <f ca="1">IFERROR(__xludf.DUMMYFUNCTION("""COMPUTED_VALUE"""),"АЛЬФА ГРУПП КИЕВ")</f>
        <v>АЛЬФА ГРУПП КИЕВ</v>
      </c>
      <c r="D119">
        <f ca="1">IFERROR(__xludf.DUMMYFUNCTION("""COMPUTED_VALUE"""),64238140)</f>
        <v>64238140</v>
      </c>
      <c r="E119" t="str">
        <f ca="1">IFERROR(__xludf.DUMMYFUNCTION("""COMPUTED_VALUE"""),"60 ПОЛУВАГОНЫ")</f>
        <v>60 ПОЛУВАГОНЫ</v>
      </c>
      <c r="F119">
        <f ca="1">IFERROR(__xludf.DUMMYFUNCTION("""COMPUTED_VALUE"""),23225)</f>
        <v>23225</v>
      </c>
      <c r="G119" t="str">
        <f ca="1">IFERROR(__xludf.DUMMYFUNCTION("""COMPUTED_VALUE"""),"ОТСЕВ ГРАН КАМ")</f>
        <v>ОТСЕВ ГРАН КАМ</v>
      </c>
      <c r="H119">
        <f ca="1">IFERROR(__xludf.DUMMYFUNCTION("""COMPUTED_VALUE"""),70)</f>
        <v>70</v>
      </c>
      <c r="I119">
        <f ca="1">IFERROR(__xludf.DUMMYFUNCTION("""COMPUTED_VALUE"""),1879)</f>
        <v>1879</v>
      </c>
      <c r="J119" t="str">
        <f ca="1">IFERROR(__xludf.DUMMYFUNCTION("""COMPUTED_VALUE"""),"2721 (40510-351-40020) ОДЕССА-ЗАС I - ОДЕС-ТОВАРН")</f>
        <v>2721 (40510-351-40020) ОДЕССА-ЗАС I - ОДЕС-ТОВАРН</v>
      </c>
      <c r="K119">
        <f ca="1">IFERROR(__xludf.DUMMYFUNCTION("""COMPUTED_VALUE"""),40130)</f>
        <v>40130</v>
      </c>
      <c r="L119" t="str">
        <f ca="1">IFERROR(__xludf.DUMMYFUNCTION("""COMPUTED_VALUE"""),"ОДЕС-ЗАС II")</f>
        <v>ОДЕС-ЗАС II</v>
      </c>
      <c r="M119" t="str">
        <f ca="1">IFERROR(__xludf.DUMMYFUNCTION("""COMPUTED_VALUE"""),"11.08.21 20-30")</f>
        <v>11.08.21 20-30</v>
      </c>
      <c r="N119" t="str">
        <f ca="1">IFERROR(__xludf.DUMMYFUNCTION("""COMPUTED_VALUE"""),"21 ВЫГ2")</f>
        <v>21 ВЫГ2</v>
      </c>
      <c r="O119">
        <f ca="1">IFERROR(__xludf.DUMMYFUNCTION("""COMPUTED_VALUE"""),40130)</f>
        <v>40130</v>
      </c>
      <c r="P119" t="str">
        <f ca="1">IFERROR(__xludf.DUMMYFUNCTION("""COMPUTED_VALUE"""),"ОДЕС-ЗАС II")</f>
        <v>ОДЕС-ЗАС II</v>
      </c>
      <c r="Q119">
        <f ca="1">IFERROR(__xludf.DUMMYFUNCTION("""COMPUTED_VALUE"""),41190)</f>
        <v>41190</v>
      </c>
      <c r="R119" t="str">
        <f ca="1">IFERROR(__xludf.DUMMYFUNCTION("""COMPUTED_VALUE"""),"ПОМОШНАЯ")</f>
        <v>ПОМОШНАЯ</v>
      </c>
      <c r="S119" t="str">
        <f ca="1">IFERROR(__xludf.DUMMYFUNCTION("""COMPUTED_VALUE"""),"09.08.21 16-55")</f>
        <v>09.08.21 16-55</v>
      </c>
      <c r="U119" t="str">
        <f ca="1">IFERROR(__xludf.DUMMYFUNCTION("""COMPUTED_VALUE"""),"28.05.2022 ДР")</f>
        <v>28.05.2022 ДР</v>
      </c>
      <c r="Z119" t="str">
        <f ca="1">IFERROR(__xludf.DUMMYFUNCTION("""COMPUTED_VALUE"""),"ПАО «ПУМБ»")</f>
        <v>ПАО «ПУМБ»</v>
      </c>
      <c r="AA119" t="str">
        <f ca="1">IFERROR(__xludf.DUMMYFUNCTION("""COMPUTED_VALUE"""),"12-9745")</f>
        <v>12-9745</v>
      </c>
      <c r="AI119" s="21">
        <f ca="1">IFERROR(__xludf.DUMMYFUNCTION("""COMPUTED_VALUE"""),44420.357662037)</f>
        <v>44420.357662037</v>
      </c>
    </row>
    <row r="120" spans="1:35" ht="13" x14ac:dyDescent="0.15">
      <c r="A120">
        <f ca="1">IFERROR(__xludf.DUMMYFUNCTION("""COMPUTED_VALUE"""),433)</f>
        <v>433</v>
      </c>
      <c r="B120" t="str">
        <f ca="1">IFERROR(__xludf.DUMMYFUNCTION("""COMPUTED_VALUE"""),"Техрейс")</f>
        <v>Техрейс</v>
      </c>
      <c r="C120" t="str">
        <f ca="1">IFERROR(__xludf.DUMMYFUNCTION("""COMPUTED_VALUE"""),"АЛЬФА ГРУПП КИЕВ")</f>
        <v>АЛЬФА ГРУПП КИЕВ</v>
      </c>
      <c r="D120">
        <f ca="1">IFERROR(__xludf.DUMMYFUNCTION("""COMPUTED_VALUE"""),64238165)</f>
        <v>64238165</v>
      </c>
      <c r="E120" t="str">
        <f ca="1">IFERROR(__xludf.DUMMYFUNCTION("""COMPUTED_VALUE"""),"60 ПОЛУВАГОНЫ")</f>
        <v>60 ПОЛУВАГОНЫ</v>
      </c>
      <c r="F120">
        <f ca="1">IFERROR(__xludf.DUMMYFUNCTION("""COMPUTED_VALUE"""),48326)</f>
        <v>48326</v>
      </c>
      <c r="G120" t="str">
        <f ca="1">IFERROR(__xludf.DUMMYFUNCTION("""COMPUTED_VALUE"""),"ЖЕЛЕЗА СУЛЬФАТ")</f>
        <v>ЖЕЛЕЗА СУЛЬФАТ</v>
      </c>
      <c r="H120">
        <f ca="1">IFERROR(__xludf.DUMMYFUNCTION("""COMPUTED_VALUE"""),51)</f>
        <v>51</v>
      </c>
      <c r="I120">
        <f ca="1">IFERROR(__xludf.DUMMYFUNCTION("""COMPUTED_VALUE"""),4306)</f>
        <v>4306</v>
      </c>
      <c r="J120" t="str">
        <f ca="1">IFERROR(__xludf.DUMMYFUNCTION("""COMPUTED_VALUE"""),"5555 (44870-203-00010) ПОЛТАВА-ЮЖН -")</f>
        <v>5555 (44870-203-00010) ПОЛТАВА-ЮЖН -</v>
      </c>
      <c r="K120">
        <f ca="1">IFERROR(__xludf.DUMMYFUNCTION("""COMPUTED_VALUE"""),44870)</f>
        <v>44870</v>
      </c>
      <c r="L120" t="str">
        <f ca="1">IFERROR(__xludf.DUMMYFUNCTION("""COMPUTED_VALUE"""),"ПОЛТАВА-ЮЖН")</f>
        <v>ПОЛТАВА-ЮЖН</v>
      </c>
      <c r="M120" t="str">
        <f ca="1">IFERROR(__xludf.DUMMYFUNCTION("""COMPUTED_VALUE"""),"12.08.21 04-25")</f>
        <v>12.08.21 04-25</v>
      </c>
      <c r="N120" t="str">
        <f ca="1">IFERROR(__xludf.DUMMYFUNCTION("""COMPUTED_VALUE"""),"04 РАСФ")</f>
        <v>04 РАСФ</v>
      </c>
      <c r="O120">
        <f ca="1">IFERROR(__xludf.DUMMYFUNCTION("""COMPUTED_VALUE"""),40510)</f>
        <v>40510</v>
      </c>
      <c r="P120" t="str">
        <f ca="1">IFERROR(__xludf.DUMMYFUNCTION("""COMPUTED_VALUE"""),"ОДЕССА-ЗАС I")</f>
        <v>ОДЕССА-ЗАС I</v>
      </c>
      <c r="Q120">
        <f ca="1">IFERROR(__xludf.DUMMYFUNCTION("""COMPUTED_VALUE"""),44560)</f>
        <v>44560</v>
      </c>
      <c r="R120" t="str">
        <f ca="1">IFERROR(__xludf.DUMMYFUNCTION("""COMPUTED_VALUE"""),"БАСЫ")</f>
        <v>БАСЫ</v>
      </c>
      <c r="S120" t="str">
        <f ca="1">IFERROR(__xludf.DUMMYFUNCTION("""COMPUTED_VALUE"""),"10.08.21 12-30")</f>
        <v>10.08.21 12-30</v>
      </c>
      <c r="T120">
        <f ca="1">IFERROR(__xludf.DUMMYFUNCTION("""COMPUTED_VALUE"""),1673)</f>
        <v>1673</v>
      </c>
      <c r="U120" t="str">
        <f ca="1">IFERROR(__xludf.DUMMYFUNCTION("""COMPUTED_VALUE"""),"28.05.2022 ДР")</f>
        <v>28.05.2022 ДР</v>
      </c>
      <c r="Z120" t="str">
        <f ca="1">IFERROR(__xludf.DUMMYFUNCTION("""COMPUTED_VALUE"""),"ПАО «ПУМБ»")</f>
        <v>ПАО «ПУМБ»</v>
      </c>
      <c r="AA120" t="str">
        <f ca="1">IFERROR(__xludf.DUMMYFUNCTION("""COMPUTED_VALUE"""),"12-9745")</f>
        <v>12-9745</v>
      </c>
      <c r="AB120" t="str">
        <f ca="1">IFERROR(__xludf.DUMMYFUNCTION("""COMPUTED_VALUE"""),"45 ПРИДН")</f>
        <v>45 ПРИДН</v>
      </c>
      <c r="AC120" t="str">
        <f ca="1">IFERROR(__xludf.DUMMYFUNCTION("""COMPUTED_VALUE"""),"45170 ПРАВДА")</f>
        <v>45170 ПРАВДА</v>
      </c>
      <c r="AD120" t="str">
        <f ca="1">IFERROR(__xludf.DUMMYFUNCTION("""COMPUTED_VALUE"""),"13.04.21 20-05")</f>
        <v>13.04.21 20-05</v>
      </c>
      <c r="AE12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20" t="str">
        <f ca="1">IFERROR(__xludf.DUMMYFUNCTION("""COMPUTED_VALUE"""),"45 ПРИДН")</f>
        <v>45 ПРИДН</v>
      </c>
      <c r="AG120" t="str">
        <f ca="1">IFERROR(__xludf.DUMMYFUNCTION("""COMPUTED_VALUE"""),"45170 ПРАВДА")</f>
        <v>45170 ПРАВДА</v>
      </c>
      <c r="AH120" t="str">
        <f ca="1">IFERROR(__xludf.DUMMYFUNCTION("""COMPUTED_VALUE"""),"14.04.21 15-00")</f>
        <v>14.04.21 15-00</v>
      </c>
      <c r="AI120" s="21">
        <f ca="1">IFERROR(__xludf.DUMMYFUNCTION("""COMPUTED_VALUE"""),44420.357662037)</f>
        <v>44420.357662037</v>
      </c>
    </row>
    <row r="121" spans="1:35" ht="13" x14ac:dyDescent="0.15">
      <c r="A121">
        <f ca="1">IFERROR(__xludf.DUMMYFUNCTION("""COMPUTED_VALUE"""),434)</f>
        <v>434</v>
      </c>
      <c r="B121" t="str">
        <f ca="1">IFERROR(__xludf.DUMMYFUNCTION("""COMPUTED_VALUE"""),"ГРАНІТ-ЮГ С")</f>
        <v>ГРАНІТ-ЮГ С</v>
      </c>
      <c r="C121" t="str">
        <f ca="1">IFERROR(__xludf.DUMMYFUNCTION("""COMPUTED_VALUE"""),"АЛЬФА ГРУПП КИЕВ")</f>
        <v>АЛЬФА ГРУПП КИЕВ</v>
      </c>
      <c r="D121">
        <f ca="1">IFERROR(__xludf.DUMMYFUNCTION("""COMPUTED_VALUE"""),64238173)</f>
        <v>64238173</v>
      </c>
      <c r="E121" t="str">
        <f ca="1">IFERROR(__xludf.DUMMYFUNCTION("""COMPUTED_VALUE"""),"60 ПОЛУВАГОНЫ")</f>
        <v>60 ПОЛУВАГОНЫ</v>
      </c>
      <c r="F121">
        <f ca="1">IFERROR(__xludf.DUMMYFUNCTION("""COMPUTED_VALUE"""),23225)</f>
        <v>23225</v>
      </c>
      <c r="G121" t="str">
        <f ca="1">IFERROR(__xludf.DUMMYFUNCTION("""COMPUTED_VALUE"""),"ОТСЕВ ГРАН КАМ")</f>
        <v>ОТСЕВ ГРАН КАМ</v>
      </c>
      <c r="H121">
        <f ca="1">IFERROR(__xludf.DUMMYFUNCTION("""COMPUTED_VALUE"""),70)</f>
        <v>70</v>
      </c>
      <c r="I121">
        <f ca="1">IFERROR(__xludf.DUMMYFUNCTION("""COMPUTED_VALUE"""),1879)</f>
        <v>1879</v>
      </c>
      <c r="J121" t="str">
        <f ca="1">IFERROR(__xludf.DUMMYFUNCTION("""COMPUTED_VALUE"""),"2721 (40510-351-40020) ОДЕССА-ЗАС I - ОДЕС-ТОВАРН")</f>
        <v>2721 (40510-351-40020) ОДЕССА-ЗАС I - ОДЕС-ТОВАРН</v>
      </c>
      <c r="K121">
        <f ca="1">IFERROR(__xludf.DUMMYFUNCTION("""COMPUTED_VALUE"""),40130)</f>
        <v>40130</v>
      </c>
      <c r="L121" t="str">
        <f ca="1">IFERROR(__xludf.DUMMYFUNCTION("""COMPUTED_VALUE"""),"ОДЕС-ЗАС II")</f>
        <v>ОДЕС-ЗАС II</v>
      </c>
      <c r="M121" t="str">
        <f ca="1">IFERROR(__xludf.DUMMYFUNCTION("""COMPUTED_VALUE"""),"11.08.21 20-30")</f>
        <v>11.08.21 20-30</v>
      </c>
      <c r="N121" t="str">
        <f ca="1">IFERROR(__xludf.DUMMYFUNCTION("""COMPUTED_VALUE"""),"21 ВЫГ2")</f>
        <v>21 ВЫГ2</v>
      </c>
      <c r="O121">
        <f ca="1">IFERROR(__xludf.DUMMYFUNCTION("""COMPUTED_VALUE"""),40130)</f>
        <v>40130</v>
      </c>
      <c r="P121" t="str">
        <f ca="1">IFERROR(__xludf.DUMMYFUNCTION("""COMPUTED_VALUE"""),"ОДЕС-ЗАС II")</f>
        <v>ОДЕС-ЗАС II</v>
      </c>
      <c r="Q121">
        <f ca="1">IFERROR(__xludf.DUMMYFUNCTION("""COMPUTED_VALUE"""),41190)</f>
        <v>41190</v>
      </c>
      <c r="R121" t="str">
        <f ca="1">IFERROR(__xludf.DUMMYFUNCTION("""COMPUTED_VALUE"""),"ПОМОШНАЯ")</f>
        <v>ПОМОШНАЯ</v>
      </c>
      <c r="S121" t="str">
        <f ca="1">IFERROR(__xludf.DUMMYFUNCTION("""COMPUTED_VALUE"""),"09.08.21 16-55")</f>
        <v>09.08.21 16-55</v>
      </c>
      <c r="U121" t="str">
        <f ca="1">IFERROR(__xludf.DUMMYFUNCTION("""COMPUTED_VALUE"""),"28.05.2022 ДР")</f>
        <v>28.05.2022 ДР</v>
      </c>
      <c r="Z121" t="str">
        <f ca="1">IFERROR(__xludf.DUMMYFUNCTION("""COMPUTED_VALUE"""),"ПАО «ПУМБ»")</f>
        <v>ПАО «ПУМБ»</v>
      </c>
      <c r="AA121" t="str">
        <f ca="1">IFERROR(__xludf.DUMMYFUNCTION("""COMPUTED_VALUE"""),"12-9745")</f>
        <v>12-9745</v>
      </c>
      <c r="AI121" s="21">
        <f ca="1">IFERROR(__xludf.DUMMYFUNCTION("""COMPUTED_VALUE"""),44420.357662037)</f>
        <v>44420.357662037</v>
      </c>
    </row>
    <row r="122" spans="1:35" ht="13" x14ac:dyDescent="0.15">
      <c r="A122">
        <f ca="1">IFERROR(__xludf.DUMMYFUNCTION("""COMPUTED_VALUE"""),435)</f>
        <v>435</v>
      </c>
      <c r="B122" t="str">
        <f ca="1">IFERROR(__xludf.DUMMYFUNCTION("""COMPUTED_VALUE"""),"Техрейс")</f>
        <v>Техрейс</v>
      </c>
      <c r="C122" t="str">
        <f ca="1">IFERROR(__xludf.DUMMYFUNCTION("""COMPUTED_VALUE"""),"АЛЬФА ГРУПП КИЕВ")</f>
        <v>АЛЬФА ГРУПП КИЕВ</v>
      </c>
      <c r="D122">
        <f ca="1">IFERROR(__xludf.DUMMYFUNCTION("""COMPUTED_VALUE"""),64238181)</f>
        <v>64238181</v>
      </c>
      <c r="E122" t="str">
        <f ca="1">IFERROR(__xludf.DUMMYFUNCTION("""COMPUTED_VALUE"""),"60 ПОЛУВАГОНЫ")</f>
        <v>60 ПОЛУВАГОНЫ</v>
      </c>
      <c r="F122">
        <f ca="1">IFERROR(__xludf.DUMMYFUNCTION("""COMPUTED_VALUE"""),42103)</f>
        <v>42103</v>
      </c>
      <c r="G122" t="str">
        <f ca="1">IFERROR(__xludf.DUMMYFUNCTION("""COMPUTED_VALUE"""),"ВАГОНЫ ЖД СВ")</f>
        <v>ВАГОНЫ ЖД СВ</v>
      </c>
      <c r="H122">
        <f ca="1">IFERROR(__xludf.DUMMYFUNCTION("""COMPUTED_VALUE"""),0)</f>
        <v>0</v>
      </c>
      <c r="I122">
        <f ca="1">IFERROR(__xludf.DUMMYFUNCTION("""COMPUTED_VALUE"""),4307)</f>
        <v>4307</v>
      </c>
      <c r="J122" t="str">
        <f ca="1">IFERROR(__xludf.DUMMYFUNCTION("""COMPUTED_VALUE"""),"3001 (40110-067-40000) ЧЕРНОМОРСКАЯ - ОДЕССА-СОРТ")</f>
        <v>3001 (40110-067-40000) ЧЕРНОМОРСКАЯ - ОДЕССА-СОРТ</v>
      </c>
      <c r="K122">
        <f ca="1">IFERROR(__xludf.DUMMYFUNCTION("""COMPUTED_VALUE"""),40100)</f>
        <v>40100</v>
      </c>
      <c r="L122" t="str">
        <f ca="1">IFERROR(__xludf.DUMMYFUNCTION("""COMPUTED_VALUE"""),"КРЕМИДОВКА")</f>
        <v>КРЕМИДОВКА</v>
      </c>
      <c r="M122" t="str">
        <f ca="1">IFERROR(__xludf.DUMMYFUNCTION("""COMPUTED_VALUE"""),"11.08.21 04-21")</f>
        <v>11.08.21 04-21</v>
      </c>
      <c r="N122" t="str">
        <f ca="1">IFERROR(__xludf.DUMMYFUNCTION("""COMPUTED_VALUE"""),"01 ПРИБ")</f>
        <v>01 ПРИБ</v>
      </c>
      <c r="O122">
        <f ca="1">IFERROR(__xludf.DUMMYFUNCTION("""COMPUTED_VALUE"""),40200)</f>
        <v>40200</v>
      </c>
      <c r="P122" t="str">
        <f ca="1">IFERROR(__xludf.DUMMYFUNCTION("""COMPUTED_VALUE"""),"ЧЕРНОМОРСК-П")</f>
        <v>ЧЕРНОМОРСК-П</v>
      </c>
      <c r="Q122">
        <f ca="1">IFERROR(__xludf.DUMMYFUNCTION("""COMPUTED_VALUE"""),40050)</f>
        <v>40050</v>
      </c>
      <c r="R122" t="str">
        <f ca="1">IFERROR(__xludf.DUMMYFUNCTION("""COMPUTED_VALUE"""),"БЕРЕГОВАЯ")</f>
        <v>БЕРЕГОВАЯ</v>
      </c>
      <c r="S122" t="str">
        <f ca="1">IFERROR(__xludf.DUMMYFUNCTION("""COMPUTED_VALUE"""),"07.08.21 07-10")</f>
        <v>07.08.21 07-10</v>
      </c>
      <c r="T122">
        <f ca="1">IFERROR(__xludf.DUMMYFUNCTION("""COMPUTED_VALUE"""),8200)</f>
        <v>8200</v>
      </c>
      <c r="U122" t="str">
        <f ca="1">IFERROR(__xludf.DUMMYFUNCTION("""COMPUTED_VALUE"""),"28.05.2022 ДР")</f>
        <v>28.05.2022 ДР</v>
      </c>
      <c r="Z122" t="str">
        <f ca="1">IFERROR(__xludf.DUMMYFUNCTION("""COMPUTED_VALUE"""),"ПАО «ПУМБ»")</f>
        <v>ПАО «ПУМБ»</v>
      </c>
      <c r="AA122" t="str">
        <f ca="1">IFERROR(__xludf.DUMMYFUNCTION("""COMPUTED_VALUE"""),"12-9745")</f>
        <v>12-9745</v>
      </c>
      <c r="AB122" t="str">
        <f ca="1">IFERROR(__xludf.DUMMYFUNCTION("""COMPUTED_VALUE"""),"32 Ю-ЗАП")</f>
        <v>32 Ю-ЗАП</v>
      </c>
      <c r="AC122" t="str">
        <f ca="1">IFERROR(__xludf.DUMMYFUNCTION("""COMPUTED_VALUE"""),"32000 ДАРНИЦА")</f>
        <v>32000 ДАРНИЦА</v>
      </c>
      <c r="AD122" t="str">
        <f ca="1">IFERROR(__xludf.DUMMYFUNCTION("""COMPUTED_VALUE"""),"18.09.20 20-15")</f>
        <v>18.09.20 20-15</v>
      </c>
      <c r="AE122" t="str">
        <f ca="1">IFERROR(__xludf.DUMMYFUNCTION("""COMPUTED_VALUE"""),"443 ИЗЛOМ PЫЧAГOВ И ТOPМOЗНЫX ТЯГ")</f>
        <v>443 ИЗЛOМ PЫЧAГOВ И ТOPМOЗНЫX ТЯГ</v>
      </c>
      <c r="AF122" t="str">
        <f ca="1">IFERROR(__xludf.DUMMYFUNCTION("""COMPUTED_VALUE"""),"32 Ю-ЗАП")</f>
        <v>32 Ю-ЗАП</v>
      </c>
      <c r="AG122" t="str">
        <f ca="1">IFERROR(__xludf.DUMMYFUNCTION("""COMPUTED_VALUE"""),"32000 ДАРНИЦА")</f>
        <v>32000 ДАРНИЦА</v>
      </c>
      <c r="AH122" t="str">
        <f ca="1">IFERROR(__xludf.DUMMYFUNCTION("""COMPUTED_VALUE"""),"23.09.20 16-15")</f>
        <v>23.09.20 16-15</v>
      </c>
      <c r="AI122" s="21">
        <f ca="1">IFERROR(__xludf.DUMMYFUNCTION("""COMPUTED_VALUE"""),44420.357662037)</f>
        <v>44420.357662037</v>
      </c>
    </row>
    <row r="123" spans="1:35" ht="13" x14ac:dyDescent="0.15">
      <c r="A123">
        <f ca="1">IFERROR(__xludf.DUMMYFUNCTION("""COMPUTED_VALUE"""),438)</f>
        <v>438</v>
      </c>
      <c r="B123" t="str">
        <f ca="1">IFERROR(__xludf.DUMMYFUNCTION("""COMPUTED_VALUE"""),"Техрейс")</f>
        <v>Техрейс</v>
      </c>
      <c r="C123" t="str">
        <f ca="1">IFERROR(__xludf.DUMMYFUNCTION("""COMPUTED_VALUE"""),"АЛЬФА ГРУПП КИЕВ")</f>
        <v>АЛЬФА ГРУПП КИЕВ</v>
      </c>
      <c r="D123">
        <f ca="1">IFERROR(__xludf.DUMMYFUNCTION("""COMPUTED_VALUE"""),56450638)</f>
        <v>56450638</v>
      </c>
      <c r="E123" t="str">
        <f ca="1">IFERROR(__xludf.DUMMYFUNCTION("""COMPUTED_VALUE"""),"60 ПОЛУВАГОНЫ")</f>
        <v>60 ПОЛУВАГОНЫ</v>
      </c>
      <c r="F123">
        <f ca="1">IFERROR(__xludf.DUMMYFUNCTION("""COMPUTED_VALUE"""),43604)</f>
        <v>43604</v>
      </c>
      <c r="G123" t="str">
        <f ca="1">IFERROR(__xludf.DUMMYFUNCTION("""COMPUTED_VALUE"""),"ДИАММОФОС")</f>
        <v>ДИАММОФОС</v>
      </c>
      <c r="H123">
        <f ca="1">IFERROR(__xludf.DUMMYFUNCTION("""COMPUTED_VALUE"""),68)</f>
        <v>68</v>
      </c>
      <c r="I123">
        <f ca="1">IFERROR(__xludf.DUMMYFUNCTION("""COMPUTED_VALUE"""),2154)</f>
        <v>2154</v>
      </c>
      <c r="J123" t="str">
        <f ca="1">IFERROR(__xludf.DUMMYFUNCTION("""COMPUTED_VALUE"""),"2236 (34270-218-32000) КАЗАТИН I - ДАРНИЦА")</f>
        <v>2236 (34270-218-32000) КАЗАТИН I - ДАРНИЦА</v>
      </c>
      <c r="K123">
        <f ca="1">IFERROR(__xludf.DUMMYFUNCTION("""COMPUTED_VALUE"""),32000)</f>
        <v>32000</v>
      </c>
      <c r="L123" t="str">
        <f ca="1">IFERROR(__xludf.DUMMYFUNCTION("""COMPUTED_VALUE"""),"ДАРНИЦА")</f>
        <v>ДАРНИЦА</v>
      </c>
      <c r="M123" t="str">
        <f ca="1">IFERROR(__xludf.DUMMYFUNCTION("""COMPUTED_VALUE"""),"12.08.21 04-10")</f>
        <v>12.08.21 04-10</v>
      </c>
      <c r="N123" t="str">
        <f ca="1">IFERROR(__xludf.DUMMYFUNCTION("""COMPUTED_VALUE"""),"51 ПРИБ")</f>
        <v>51 ПРИБ</v>
      </c>
      <c r="O123">
        <f ca="1">IFERROR(__xludf.DUMMYFUNCTION("""COMPUTED_VALUE"""),44280)</f>
        <v>44280</v>
      </c>
      <c r="P123" t="str">
        <f ca="1">IFERROR(__xludf.DUMMYFUNCTION("""COMPUTED_VALUE"""),"ЛОЗОВАЯ")</f>
        <v>ЛОЗОВАЯ</v>
      </c>
      <c r="Q123">
        <f ca="1">IFERROR(__xludf.DUMMYFUNCTION("""COMPUTED_VALUE"""),35050)</f>
        <v>35050</v>
      </c>
      <c r="R123" t="str">
        <f ca="1">IFERROR(__xludf.DUMMYFUNCTION("""COMPUTED_VALUE"""),"КРЕМЕНЕЦ")</f>
        <v>КРЕМЕНЕЦ</v>
      </c>
      <c r="S123" t="str">
        <f ca="1">IFERROR(__xludf.DUMMYFUNCTION("""COMPUTED_VALUE"""),"07.08.21 15-10")</f>
        <v>07.08.21 15-10</v>
      </c>
      <c r="T123">
        <f ca="1">IFERROR(__xludf.DUMMYFUNCTION("""COMPUTED_VALUE"""),1727)</f>
        <v>1727</v>
      </c>
      <c r="U123" t="str">
        <f ca="1">IFERROR(__xludf.DUMMYFUNCTION("""COMPUTED_VALUE"""),"30.10.2022 ДР")</f>
        <v>30.10.2022 ДР</v>
      </c>
      <c r="Z123" t="str">
        <f ca="1">IFERROR(__xludf.DUMMYFUNCTION("""COMPUTED_VALUE"""),"ООО «ТЕЛК «ТРАНСЛОГИСТИК КИЕВ»")</f>
        <v>ООО «ТЕЛК «ТРАНСЛОГИСТИК КИЕВ»</v>
      </c>
      <c r="AA123" t="str">
        <f ca="1">IFERROR(__xludf.DUMMYFUNCTION("""COMPUTED_VALUE"""),"12-119")</f>
        <v>12-119</v>
      </c>
      <c r="AB123" t="str">
        <f ca="1">IFERROR(__xludf.DUMMYFUNCTION("""COMPUTED_VALUE"""),"43 ЮЖН")</f>
        <v>43 ЮЖН</v>
      </c>
      <c r="AC123" t="str">
        <f ca="1">IFERROR(__xludf.DUMMYFUNCTION("""COMPUTED_VALUE"""),"42500 КРЕМЕНЧУГ")</f>
        <v>42500 КРЕМЕНЧУГ</v>
      </c>
      <c r="AD123" t="str">
        <f ca="1">IFERROR(__xludf.DUMMYFUNCTION("""COMPUTED_VALUE"""),"05.04.21 07-30")</f>
        <v>05.04.21 07-30</v>
      </c>
      <c r="AE123" t="str">
        <f ca="1">IFERROR(__xludf.DUMMYFUNCTION("""COMPUTED_VALUE"""),"214 ИЗЛOМ ПPУЖИН")</f>
        <v>214 ИЗЛOМ ПPУЖИН</v>
      </c>
      <c r="AF123" t="str">
        <f ca="1">IFERROR(__xludf.DUMMYFUNCTION("""COMPUTED_VALUE"""),"43 ЮЖН")</f>
        <v>43 ЮЖН</v>
      </c>
      <c r="AG123" t="str">
        <f ca="1">IFERROR(__xludf.DUMMYFUNCTION("""COMPUTED_VALUE"""),"42500 КРЕМЕНЧУГ")</f>
        <v>42500 КРЕМЕНЧУГ</v>
      </c>
      <c r="AH123" t="str">
        <f ca="1">IFERROR(__xludf.DUMMYFUNCTION("""COMPUTED_VALUE"""),"09.04.21 16-00")</f>
        <v>09.04.21 16-00</v>
      </c>
      <c r="AI123" s="21">
        <f ca="1">IFERROR(__xludf.DUMMYFUNCTION("""COMPUTED_VALUE"""),44420.357662037)</f>
        <v>44420.357662037</v>
      </c>
    </row>
    <row r="124" spans="1:35" ht="13" x14ac:dyDescent="0.15">
      <c r="A124">
        <f ca="1">IFERROR(__xludf.DUMMYFUNCTION("""COMPUTED_VALUE"""),446)</f>
        <v>446</v>
      </c>
      <c r="B124" t="str">
        <f ca="1">IFERROR(__xludf.DUMMYFUNCTION("""COMPUTED_VALUE"""),"Техрейс")</f>
        <v>Техрейс</v>
      </c>
      <c r="C124" t="str">
        <f ca="1">IFERROR(__xludf.DUMMYFUNCTION("""COMPUTED_VALUE"""),"АЛЬФА ГРУПП КИЕВ")</f>
        <v>АЛЬФА ГРУПП КИЕВ</v>
      </c>
      <c r="D124">
        <f ca="1">IFERROR(__xludf.DUMMYFUNCTION("""COMPUTED_VALUE"""),56450539)</f>
        <v>56450539</v>
      </c>
      <c r="E124" t="str">
        <f ca="1">IFERROR(__xludf.DUMMYFUNCTION("""COMPUTED_VALUE"""),"60 ПОЛУВАГОНЫ")</f>
        <v>60 ПОЛУВАГОНЫ</v>
      </c>
      <c r="F124">
        <f ca="1">IFERROR(__xludf.DUMMYFUNCTION("""COMPUTED_VALUE"""),14109)</f>
        <v>14109</v>
      </c>
      <c r="G124" t="str">
        <f ca="1">IFERROR(__xludf.DUMMYFUNCTION("""COMPUTED_VALUE"""),"ГЕМАТИТ")</f>
        <v>ГЕМАТИТ</v>
      </c>
      <c r="H124">
        <f ca="1">IFERROR(__xludf.DUMMYFUNCTION("""COMPUTED_VALUE"""),69)</f>
        <v>69</v>
      </c>
      <c r="I124">
        <f ca="1">IFERROR(__xludf.DUMMYFUNCTION("""COMPUTED_VALUE"""),5786)</f>
        <v>5786</v>
      </c>
      <c r="J124" t="str">
        <f ca="1">IFERROR(__xludf.DUMMYFUNCTION("""COMPUTED_VALUE"""),"2760 (40050-083-46720) БЕРЕГОВАЯ - КРИВОЙ РОГ")</f>
        <v>2760 (40050-083-46720) БЕРЕГОВАЯ - КРИВОЙ РОГ</v>
      </c>
      <c r="K124">
        <f ca="1">IFERROR(__xludf.DUMMYFUNCTION("""COMPUTED_VALUE"""),40050)</f>
        <v>40050</v>
      </c>
      <c r="L124" t="str">
        <f ca="1">IFERROR(__xludf.DUMMYFUNCTION("""COMPUTED_VALUE"""),"БЕРЕГОВАЯ")</f>
        <v>БЕРЕГОВАЯ</v>
      </c>
      <c r="M124" t="str">
        <f ca="1">IFERROR(__xludf.DUMMYFUNCTION("""COMPUTED_VALUE"""),"12.08.21 05-00")</f>
        <v>12.08.21 05-00</v>
      </c>
      <c r="N124" t="str">
        <f ca="1">IFERROR(__xludf.DUMMYFUNCTION("""COMPUTED_VALUE"""),"21 ВЫГ2")</f>
        <v>21 ВЫГ2</v>
      </c>
      <c r="O124">
        <f ca="1">IFERROR(__xludf.DUMMYFUNCTION("""COMPUTED_VALUE"""),40060)</f>
        <v>40060</v>
      </c>
      <c r="P124" t="str">
        <f ca="1">IFERROR(__xludf.DUMMYFUNCTION("""COMPUTED_VALUE"""),"БЕРЕГОВАЯ-Э")</f>
        <v>БЕРЕГОВАЯ-Э</v>
      </c>
      <c r="Q124">
        <f ca="1">IFERROR(__xludf.DUMMYFUNCTION("""COMPUTED_VALUE"""),46720)</f>
        <v>46720</v>
      </c>
      <c r="R124" t="str">
        <f ca="1">IFERROR(__xludf.DUMMYFUNCTION("""COMPUTED_VALUE"""),"КРИВОЙ РОГ")</f>
        <v>КРИВОЙ РОГ</v>
      </c>
      <c r="S124" t="str">
        <f ca="1">IFERROR(__xludf.DUMMYFUNCTION("""COMPUTED_VALUE"""),"10.08.21 10-20")</f>
        <v>10.08.21 10-20</v>
      </c>
      <c r="U124" t="str">
        <f ca="1">IFERROR(__xludf.DUMMYFUNCTION("""COMPUTED_VALUE"""),"22.07.2022 ДР")</f>
        <v>22.07.2022 ДР</v>
      </c>
      <c r="Z124" t="str">
        <f ca="1">IFERROR(__xludf.DUMMYFUNCTION("""COMPUTED_VALUE"""),"ООО «ТЕЛК «ТРАНСЛОГИСТИК КИЕВ»")</f>
        <v>ООО «ТЕЛК «ТРАНСЛОГИСТИК КИЕВ»</v>
      </c>
      <c r="AA124" t="str">
        <f ca="1">IFERROR(__xludf.DUMMYFUNCTION("""COMPUTED_VALUE"""),"12-119")</f>
        <v>12-119</v>
      </c>
      <c r="AB124" t="str">
        <f ca="1">IFERROR(__xludf.DUMMYFUNCTION("""COMPUTED_VALUE"""),"45 ПРИДН")</f>
        <v>45 ПРИДН</v>
      </c>
      <c r="AC124" t="str">
        <f ca="1">IFERROR(__xludf.DUMMYFUNCTION("""COMPUTED_VALUE"""),"47660 ДНЕПРОРУДНАЯ")</f>
        <v>47660 ДНЕПРОРУДНАЯ</v>
      </c>
      <c r="AD124" t="str">
        <f ca="1">IFERROR(__xludf.DUMMYFUNCTION("""COMPUTED_VALUE"""),"29.11.20 11-00")</f>
        <v>29.11.20 11-00</v>
      </c>
      <c r="AE124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24" t="str">
        <f ca="1">IFERROR(__xludf.DUMMYFUNCTION("""COMPUTED_VALUE"""),"45 ПРИДН")</f>
        <v>45 ПРИДН</v>
      </c>
      <c r="AG124" t="str">
        <f ca="1">IFERROR(__xludf.DUMMYFUNCTION("""COMPUTED_VALUE"""),"47660 ДНЕПРОРУДНАЯ")</f>
        <v>47660 ДНЕПРОРУДНАЯ</v>
      </c>
      <c r="AH124" t="str">
        <f ca="1">IFERROR(__xludf.DUMMYFUNCTION("""COMPUTED_VALUE"""),"01.12.20 11-00")</f>
        <v>01.12.20 11-00</v>
      </c>
      <c r="AI124" s="21">
        <f ca="1">IFERROR(__xludf.DUMMYFUNCTION("""COMPUTED_VALUE"""),44420.3576736111)</f>
        <v>44420.357673611099</v>
      </c>
    </row>
    <row r="125" spans="1:35" ht="13" x14ac:dyDescent="0.15">
      <c r="A125">
        <f ca="1">IFERROR(__xludf.DUMMYFUNCTION("""COMPUTED_VALUE"""),447)</f>
        <v>447</v>
      </c>
      <c r="B125" t="str">
        <f ca="1">IFERROR(__xludf.DUMMYFUNCTION("""COMPUTED_VALUE"""),"Техрейс")</f>
        <v>Техрейс</v>
      </c>
      <c r="C125" t="str">
        <f ca="1">IFERROR(__xludf.DUMMYFUNCTION("""COMPUTED_VALUE"""),"АЛЬФА ГРУПП КИЕВ")</f>
        <v>АЛЬФА ГРУПП КИЕВ</v>
      </c>
      <c r="D125">
        <f ca="1">IFERROR(__xludf.DUMMYFUNCTION("""COMPUTED_VALUE"""),56450612)</f>
        <v>56450612</v>
      </c>
      <c r="E125" t="str">
        <f ca="1">IFERROR(__xludf.DUMMYFUNCTION("""COMPUTED_VALUE"""),"60 ПОЛУВАГОНЫ")</f>
        <v>60 ПОЛУВАГОНЫ</v>
      </c>
      <c r="F125">
        <f ca="1">IFERROR(__xludf.DUMMYFUNCTION("""COMPUTED_VALUE"""),16120)</f>
        <v>16120</v>
      </c>
      <c r="G125" t="str">
        <f ca="1">IFERROR(__xludf.DUMMYFUNCTION("""COMPUTED_VALUE"""),"УГОЛЬ КАМЕН ПР")</f>
        <v>УГОЛЬ КАМЕН ПР</v>
      </c>
      <c r="H125">
        <f ca="1">IFERROR(__xludf.DUMMYFUNCTION("""COMPUTED_VALUE"""),69)</f>
        <v>69</v>
      </c>
      <c r="I125">
        <f ca="1">IFERROR(__xludf.DUMMYFUNCTION("""COMPUTED_VALUE"""),5734)</f>
        <v>5734</v>
      </c>
      <c r="J125" t="str">
        <f ca="1">IFERROR(__xludf.DUMMYFUNCTION("""COMPUTED_VALUE"""),"3611 (48210-063-45000) ГРОДОВКА - НИЖНЕДН-УЗЕЛ")</f>
        <v>3611 (48210-063-45000) ГРОДОВКА - НИЖНЕДН-УЗЕЛ</v>
      </c>
      <c r="K125">
        <f ca="1">IFERROR(__xludf.DUMMYFUNCTION("""COMPUTED_VALUE"""),48200)</f>
        <v>48200</v>
      </c>
      <c r="L125" t="str">
        <f ca="1">IFERROR(__xludf.DUMMYFUNCTION("""COMPUTED_VALUE"""),"ПОКРОВСК")</f>
        <v>ПОКРОВСК</v>
      </c>
      <c r="M125" t="str">
        <f ca="1">IFERROR(__xludf.DUMMYFUNCTION("""COMPUTED_VALUE"""),"12.08.21 06-55")</f>
        <v>12.08.21 06-55</v>
      </c>
      <c r="N125" t="str">
        <f ca="1">IFERROR(__xludf.DUMMYFUNCTION("""COMPUTED_VALUE"""),"01 ПРИБ")</f>
        <v>01 ПРИБ</v>
      </c>
      <c r="O125">
        <f ca="1">IFERROR(__xludf.DUMMYFUNCTION("""COMPUTED_VALUE"""),33010)</f>
        <v>33010</v>
      </c>
      <c r="P125" t="str">
        <f ca="1">IFERROR(__xludf.DUMMYFUNCTION("""COMPUTED_VALUE"""),"ВОЛОЧИСК")</f>
        <v>ВОЛОЧИСК</v>
      </c>
      <c r="Q125">
        <f ca="1">IFERROR(__xludf.DUMMYFUNCTION("""COMPUTED_VALUE"""),48220)</f>
        <v>48220</v>
      </c>
      <c r="R125" t="str">
        <f ca="1">IFERROR(__xludf.DUMMYFUNCTION("""COMPUTED_VALUE"""),"НОВОГРОДОВКА")</f>
        <v>НОВОГРОДОВКА</v>
      </c>
      <c r="S125" t="str">
        <f ca="1">IFERROR(__xludf.DUMMYFUNCTION("""COMPUTED_VALUE"""),"10.08.21 19-15")</f>
        <v>10.08.21 19-15</v>
      </c>
      <c r="T125">
        <f ca="1">IFERROR(__xludf.DUMMYFUNCTION("""COMPUTED_VALUE"""),1816)</f>
        <v>1816</v>
      </c>
      <c r="U125" t="str">
        <f ca="1">IFERROR(__xludf.DUMMYFUNCTION("""COMPUTED_VALUE"""),"30.08.2022 ДР")</f>
        <v>30.08.2022 ДР</v>
      </c>
      <c r="Z125" t="str">
        <f ca="1">IFERROR(__xludf.DUMMYFUNCTION("""COMPUTED_VALUE"""),"ООО «ТЕЛК «ТРАНСЛОГИСТИК КИЕВ»")</f>
        <v>ООО «ТЕЛК «ТРАНСЛОГИСТИК КИЕВ»</v>
      </c>
      <c r="AA125" t="str">
        <f ca="1">IFERROR(__xludf.DUMMYFUNCTION("""COMPUTED_VALUE"""),"12-119")</f>
        <v>12-119</v>
      </c>
      <c r="AB125" t="str">
        <f ca="1">IFERROR(__xludf.DUMMYFUNCTION("""COMPUTED_VALUE"""),"45 ПРИДН")</f>
        <v>45 ПРИДН</v>
      </c>
      <c r="AC125" t="str">
        <f ca="1">IFERROR(__xludf.DUMMYFUNCTION("""COMPUTED_VALUE"""),"45580 КАМЕНСКОЕ")</f>
        <v>45580 КАМЕНСКОЕ</v>
      </c>
      <c r="AD125" t="str">
        <f ca="1">IFERROR(__xludf.DUMMYFUNCTION("""COMPUTED_VALUE"""),"08.04.21 05-30")</f>
        <v>08.04.21 05-30</v>
      </c>
      <c r="AE125" t="str">
        <f ca="1">IFERROR(__xludf.DUMMYFUNCTION("""COMPUTED_VALUE"""),"404 НEИCПPAВНОСТЬ ТOPМOЗНOГO ЦИЛИНДPA")</f>
        <v>404 НEИCПPAВНОСТЬ ТOPМOЗНOГO ЦИЛИНДPA</v>
      </c>
      <c r="AF125" t="str">
        <f ca="1">IFERROR(__xludf.DUMMYFUNCTION("""COMPUTED_VALUE"""),"45 ПРИДН")</f>
        <v>45 ПРИДН</v>
      </c>
      <c r="AG125" t="str">
        <f ca="1">IFERROR(__xludf.DUMMYFUNCTION("""COMPUTED_VALUE"""),"45580 КАМЕНСКОЕ")</f>
        <v>45580 КАМЕНСКОЕ</v>
      </c>
      <c r="AH125" t="str">
        <f ca="1">IFERROR(__xludf.DUMMYFUNCTION("""COMPUTED_VALUE"""),"12.04.21 14-00")</f>
        <v>12.04.21 14-00</v>
      </c>
      <c r="AI125" s="21">
        <f ca="1">IFERROR(__xludf.DUMMYFUNCTION("""COMPUTED_VALUE"""),44420.3576736111)</f>
        <v>44420.357673611099</v>
      </c>
    </row>
    <row r="126" spans="1:35" ht="13" x14ac:dyDescent="0.15">
      <c r="A126">
        <f ca="1">IFERROR(__xludf.DUMMYFUNCTION("""COMPUTED_VALUE"""),451)</f>
        <v>451</v>
      </c>
      <c r="B126" t="str">
        <f ca="1">IFERROR(__xludf.DUMMYFUNCTION("""COMPUTED_VALUE"""),"Лидер")</f>
        <v>Лидер</v>
      </c>
      <c r="C126" t="str">
        <f ca="1">IFERROR(__xludf.DUMMYFUNCTION("""COMPUTED_VALUE"""),"Летранс")</f>
        <v>Летранс</v>
      </c>
      <c r="D126">
        <f ca="1">IFERROR(__xludf.DUMMYFUNCTION("""COMPUTED_VALUE"""),60717261)</f>
        <v>60717261</v>
      </c>
      <c r="E126" t="str">
        <f ca="1">IFERROR(__xludf.DUMMYFUNCTION("""COMPUTED_VALUE"""),"60 ПОЛУВАГОНЫ")</f>
        <v>60 ПОЛУВАГОНЫ</v>
      </c>
      <c r="F126">
        <f ca="1">IFERROR(__xludf.DUMMYFUNCTION("""COMPUTED_VALUE"""),42103)</f>
        <v>42103</v>
      </c>
      <c r="G126" t="str">
        <f ca="1">IFERROR(__xludf.DUMMYFUNCTION("""COMPUTED_VALUE"""),"ВАГОНЫ ЖД СВ")</f>
        <v>ВАГОНЫ ЖД СВ</v>
      </c>
      <c r="H126">
        <f ca="1">IFERROR(__xludf.DUMMYFUNCTION("""COMPUTED_VALUE"""),0)</f>
        <v>0</v>
      </c>
      <c r="I126">
        <f ca="1">IFERROR(__xludf.DUMMYFUNCTION("""COMPUTED_VALUE"""),7052)</f>
        <v>7052</v>
      </c>
      <c r="J126" t="str">
        <f ca="1">IFERROR(__xludf.DUMMYFUNCTION("""COMPUTED_VALUE"""),"3422 (37980-013-35000) КРАСНЕ - ЗДОЛБУНОВ")</f>
        <v>3422 (37980-013-35000) КРАСНЕ - ЗДОЛБУНОВ</v>
      </c>
      <c r="K126">
        <f ca="1">IFERROR(__xludf.DUMMYFUNCTION("""COMPUTED_VALUE"""),35000)</f>
        <v>35000</v>
      </c>
      <c r="L126" t="str">
        <f ca="1">IFERROR(__xludf.DUMMYFUNCTION("""COMPUTED_VALUE"""),"ЗДОЛБУНОВ")</f>
        <v>ЗДОЛБУНОВ</v>
      </c>
      <c r="M126" t="str">
        <f ca="1">IFERROR(__xludf.DUMMYFUNCTION("""COMPUTED_VALUE"""),"12.08.21 00-37")</f>
        <v>12.08.21 00-37</v>
      </c>
      <c r="N126" t="str">
        <f ca="1">IFERROR(__xludf.DUMMYFUNCTION("""COMPUTED_VALUE"""),"04 РАСФ")</f>
        <v>04 РАСФ</v>
      </c>
      <c r="O126">
        <f ca="1">IFERROR(__xludf.DUMMYFUNCTION("""COMPUTED_VALUE"""),34850)</f>
        <v>34850</v>
      </c>
      <c r="P126" t="str">
        <f ca="1">IFERROR(__xludf.DUMMYFUNCTION("""COMPUTED_VALUE"""),"УШИЦА")</f>
        <v>УШИЦА</v>
      </c>
      <c r="Q126">
        <f ca="1">IFERROR(__xludf.DUMMYFUNCTION("""COMPUTED_VALUE"""),36240)</f>
        <v>36240</v>
      </c>
      <c r="R126" t="str">
        <f ca="1">IFERROR(__xludf.DUMMYFUNCTION("""COMPUTED_VALUE"""),"КОЗОВА")</f>
        <v>КОЗОВА</v>
      </c>
      <c r="S126" t="str">
        <f ca="1">IFERROR(__xludf.DUMMYFUNCTION("""COMPUTED_VALUE"""),"06.08.21 18-30")</f>
        <v>06.08.21 18-30</v>
      </c>
      <c r="T126">
        <f ca="1">IFERROR(__xludf.DUMMYFUNCTION("""COMPUTED_VALUE"""),5133)</f>
        <v>5133</v>
      </c>
      <c r="U126" t="str">
        <f ca="1">IFERROR(__xludf.DUMMYFUNCTION("""COMPUTED_VALUE"""),"15.07.2024 КР")</f>
        <v>15.07.2024 КР</v>
      </c>
      <c r="Z126" t="str">
        <f ca="1">IFERROR(__xludf.DUMMYFUNCTION("""COMPUTED_VALUE"""),"ООО ""ПРОМИНДУСТРИЯ""")</f>
        <v>ООО "ПРОМИНДУСТРИЯ"</v>
      </c>
      <c r="AA126" t="str">
        <f ca="1">IFERROR(__xludf.DUMMYFUNCTION("""COMPUTED_VALUE"""),"12-9046")</f>
        <v>12-9046</v>
      </c>
      <c r="AB126" t="str">
        <f ca="1">IFERROR(__xludf.DUMMYFUNCTION("""COMPUTED_VALUE"""),"40 ОД")</f>
        <v>40 ОД</v>
      </c>
      <c r="AC126" t="str">
        <f ca="1">IFERROR(__xludf.DUMMYFUNCTION("""COMPUTED_VALUE"""),"42000 ИМ.Т.ШЕВЧЕНК")</f>
        <v>42000 ИМ.Т.ШЕВЧЕНК</v>
      </c>
      <c r="AD126" t="str">
        <f ca="1">IFERROR(__xludf.DUMMYFUNCTION("""COMPUTED_VALUE"""),"30.06.21 22-13")</f>
        <v>30.06.21 22-13</v>
      </c>
      <c r="AE126" t="str">
        <f ca="1">IFERROR(__xludf.DUMMYFUNCTION("""COMPUTED_VALUE"""),"570 ИCТEК КAЛЕНДАРНЫЙ CPOК ДEПOВCКОГО PEМOНТA")</f>
        <v>570 ИCТEК КAЛЕНДАРНЫЙ CPOК ДEПOВCКОГО PEМOНТA</v>
      </c>
      <c r="AF126" t="str">
        <f ca="1">IFERROR(__xludf.DUMMYFUNCTION("""COMPUTED_VALUE"""),"40 ОД")</f>
        <v>40 ОД</v>
      </c>
      <c r="AG126" t="str">
        <f ca="1">IFERROR(__xludf.DUMMYFUNCTION("""COMPUTED_VALUE"""),"42000 ИМ.Т.ШЕВЧЕНК")</f>
        <v>42000 ИМ.Т.ШЕВЧЕНК</v>
      </c>
      <c r="AH126" t="str">
        <f ca="1">IFERROR(__xludf.DUMMYFUNCTION("""COMPUTED_VALUE"""),"15.07.21 17-00")</f>
        <v>15.07.21 17-00</v>
      </c>
      <c r="AI126" s="21">
        <f ca="1">IFERROR(__xludf.DUMMYFUNCTION("""COMPUTED_VALUE"""),44420.3576736111)</f>
        <v>44420.357673611099</v>
      </c>
    </row>
    <row r="127" spans="1:35" ht="13" x14ac:dyDescent="0.15">
      <c r="A127">
        <f ca="1">IFERROR(__xludf.DUMMYFUNCTION("""COMPUTED_VALUE"""),459)</f>
        <v>459</v>
      </c>
      <c r="B127" t="str">
        <f ca="1">IFERROR(__xludf.DUMMYFUNCTION("""COMPUTED_VALUE"""),"Лидер")</f>
        <v>Лидер</v>
      </c>
      <c r="C127" t="str">
        <f ca="1">IFERROR(__xludf.DUMMYFUNCTION("""COMPUTED_VALUE"""),"ФМС груп")</f>
        <v>ФМС груп</v>
      </c>
      <c r="D127">
        <f ca="1">IFERROR(__xludf.DUMMYFUNCTION("""COMPUTED_VALUE"""),64245160)</f>
        <v>64245160</v>
      </c>
      <c r="E127" t="str">
        <f ca="1">IFERROR(__xludf.DUMMYFUNCTION("""COMPUTED_VALUE"""),"60 ПОЛУВАГОНЫ")</f>
        <v>60 ПОЛУВАГОНЫ</v>
      </c>
      <c r="F127">
        <f ca="1">IFERROR(__xludf.DUMMYFUNCTION("""COMPUTED_VALUE"""),23107)</f>
        <v>23107</v>
      </c>
      <c r="G127" t="str">
        <f ca="1">IFERROR(__xludf.DUMMYFUNCTION("""COMPUTED_VALUE"""),"ПЕСОК СТРОИТ")</f>
        <v>ПЕСОК СТРОИТ</v>
      </c>
      <c r="H127">
        <f ca="1">IFERROR(__xludf.DUMMYFUNCTION("""COMPUTED_VALUE"""),69)</f>
        <v>69</v>
      </c>
      <c r="I127">
        <f ca="1">IFERROR(__xludf.DUMMYFUNCTION("""COMPUTED_VALUE"""),6302)</f>
        <v>6302</v>
      </c>
      <c r="J127" t="str">
        <f ca="1">IFERROR(__xludf.DUMMYFUNCTION("""COMPUTED_VALUE"""),"9511 (34710-285-36240) ШАТРИЩЕ - КОЗОВА")</f>
        <v>9511 (34710-285-36240) ШАТРИЩЕ - КОЗОВА</v>
      </c>
      <c r="K127">
        <f ca="1">IFERROR(__xludf.DUMMYFUNCTION("""COMPUTED_VALUE"""),36000)</f>
        <v>36000</v>
      </c>
      <c r="L127" t="str">
        <f ca="1">IFERROR(__xludf.DUMMYFUNCTION("""COMPUTED_VALUE"""),"ТЕРНОПОЛЬ")</f>
        <v>ТЕРНОПОЛЬ</v>
      </c>
      <c r="M127" t="str">
        <f ca="1">IFERROR(__xludf.DUMMYFUNCTION("""COMPUTED_VALUE"""),"12.08.21 05-00")</f>
        <v>12.08.21 05-00</v>
      </c>
      <c r="N127" t="str">
        <f ca="1">IFERROR(__xludf.DUMMYFUNCTION("""COMPUTED_VALUE"""),"84 ДОСЛ")</f>
        <v>84 ДОСЛ</v>
      </c>
      <c r="O127">
        <f ca="1">IFERROR(__xludf.DUMMYFUNCTION("""COMPUTED_VALUE"""),36240)</f>
        <v>36240</v>
      </c>
      <c r="P127" t="str">
        <f ca="1">IFERROR(__xludf.DUMMYFUNCTION("""COMPUTED_VALUE"""),"КОЗОВА")</f>
        <v>КОЗОВА</v>
      </c>
      <c r="Q127">
        <f ca="1">IFERROR(__xludf.DUMMYFUNCTION("""COMPUTED_VALUE"""),34750)</f>
        <v>34750</v>
      </c>
      <c r="R127" t="str">
        <f ca="1">IFERROR(__xludf.DUMMYFUNCTION("""COMPUTED_VALUE"""),"ПЕНИЗЕВИЧИ")</f>
        <v>ПЕНИЗЕВИЧИ</v>
      </c>
      <c r="S127" t="str">
        <f ca="1">IFERROR(__xludf.DUMMYFUNCTION("""COMPUTED_VALUE"""),"09.08.21 10-10")</f>
        <v>09.08.21 10-10</v>
      </c>
      <c r="T127">
        <f ca="1">IFERROR(__xludf.DUMMYFUNCTION("""COMPUTED_VALUE"""),3437)</f>
        <v>3437</v>
      </c>
      <c r="U127" t="str">
        <f ca="1">IFERROR(__xludf.DUMMYFUNCTION("""COMPUTED_VALUE"""),"17.09.2022 ДР")</f>
        <v>17.09.2022 ДР</v>
      </c>
      <c r="Z127" t="str">
        <f ca="1">IFERROR(__xludf.DUMMYFUNCTION("""COMPUTED_VALUE"""),"ООО ""Ф.М.С. групп""")</f>
        <v>ООО "Ф.М.С. групп"</v>
      </c>
      <c r="AA127" t="str">
        <f ca="1">IFERROR(__xludf.DUMMYFUNCTION("""COMPUTED_VALUE"""),"12-783")</f>
        <v>12-783</v>
      </c>
      <c r="AI127" s="21">
        <f ca="1">IFERROR(__xludf.DUMMYFUNCTION("""COMPUTED_VALUE"""),44420.3576736111)</f>
        <v>44420.357673611099</v>
      </c>
    </row>
    <row r="128" spans="1:35" ht="13" x14ac:dyDescent="0.15">
      <c r="A128">
        <f ca="1">IFERROR(__xludf.DUMMYFUNCTION("""COMPUTED_VALUE"""),460)</f>
        <v>460</v>
      </c>
      <c r="B128" t="str">
        <f ca="1">IFERROR(__xludf.DUMMYFUNCTION("""COMPUTED_VALUE"""),"Техрейс")</f>
        <v>Техрейс</v>
      </c>
      <c r="C128" t="str">
        <f ca="1">IFERROR(__xludf.DUMMYFUNCTION("""COMPUTED_VALUE"""),"ФМС груп")</f>
        <v>ФМС груп</v>
      </c>
      <c r="D128">
        <f ca="1">IFERROR(__xludf.DUMMYFUNCTION("""COMPUTED_VALUE"""),64245178)</f>
        <v>64245178</v>
      </c>
      <c r="E128" t="str">
        <f ca="1">IFERROR(__xludf.DUMMYFUNCTION("""COMPUTED_VALUE"""),"60 ПОЛУВАГОНЫ")</f>
        <v>60 ПОЛУВАГОНЫ</v>
      </c>
      <c r="F128">
        <f ca="1">IFERROR(__xludf.DUMMYFUNCTION("""COMPUTED_VALUE"""),42103)</f>
        <v>42103</v>
      </c>
      <c r="G128" t="str">
        <f ca="1">IFERROR(__xludf.DUMMYFUNCTION("""COMPUTED_VALUE"""),"ВАГОНЫ ЖД СВ")</f>
        <v>ВАГОНЫ ЖД СВ</v>
      </c>
      <c r="H128">
        <f ca="1">IFERROR(__xludf.DUMMYFUNCTION("""COMPUTED_VALUE"""),0)</f>
        <v>0</v>
      </c>
      <c r="I128">
        <f ca="1">IFERROR(__xludf.DUMMYFUNCTION("""COMPUTED_VALUE"""),4307)</f>
        <v>4307</v>
      </c>
      <c r="J128" t="str">
        <f ca="1">IFERROR(__xludf.DUMMYFUNCTION("""COMPUTED_VALUE"""),"3001 (40110-077-40000) ЧЕРНОМОРСКАЯ - ОДЕССА-СОРТ")</f>
        <v>3001 (40110-077-40000) ЧЕРНОМОРСКАЯ - ОДЕССА-СОРТ</v>
      </c>
      <c r="K128">
        <f ca="1">IFERROR(__xludf.DUMMYFUNCTION("""COMPUTED_VALUE"""),40110)</f>
        <v>40110</v>
      </c>
      <c r="L128" t="str">
        <f ca="1">IFERROR(__xludf.DUMMYFUNCTION("""COMPUTED_VALUE"""),"ЧЕРНОМОРСКАЯ")</f>
        <v>ЧЕРНОМОРСКАЯ</v>
      </c>
      <c r="M128" t="str">
        <f ca="1">IFERROR(__xludf.DUMMYFUNCTION("""COMPUTED_VALUE"""),"11.08.21 11-10")</f>
        <v>11.08.21 11-10</v>
      </c>
      <c r="N128" t="str">
        <f ca="1">IFERROR(__xludf.DUMMYFUNCTION("""COMPUTED_VALUE"""),"05 ФОРМ")</f>
        <v>05 ФОРМ</v>
      </c>
      <c r="O128">
        <f ca="1">IFERROR(__xludf.DUMMYFUNCTION("""COMPUTED_VALUE"""),40200)</f>
        <v>40200</v>
      </c>
      <c r="P128" t="str">
        <f ca="1">IFERROR(__xludf.DUMMYFUNCTION("""COMPUTED_VALUE"""),"ЧЕРНОМОРСК-П")</f>
        <v>ЧЕРНОМОРСК-П</v>
      </c>
      <c r="Q128">
        <f ca="1">IFERROR(__xludf.DUMMYFUNCTION("""COMPUTED_VALUE"""),40050)</f>
        <v>40050</v>
      </c>
      <c r="R128" t="str">
        <f ca="1">IFERROR(__xludf.DUMMYFUNCTION("""COMPUTED_VALUE"""),"БЕРЕГОВАЯ")</f>
        <v>БЕРЕГОВАЯ</v>
      </c>
      <c r="S128" t="str">
        <f ca="1">IFERROR(__xludf.DUMMYFUNCTION("""COMPUTED_VALUE"""),"08.08.21 13-45")</f>
        <v>08.08.21 13-45</v>
      </c>
      <c r="T128">
        <f ca="1">IFERROR(__xludf.DUMMYFUNCTION("""COMPUTED_VALUE"""),8200)</f>
        <v>8200</v>
      </c>
      <c r="U128" t="str">
        <f ca="1">IFERROR(__xludf.DUMMYFUNCTION("""COMPUTED_VALUE"""),"17.09.2022 ДР")</f>
        <v>17.09.2022 ДР</v>
      </c>
      <c r="Z128" t="str">
        <f ca="1">IFERROR(__xludf.DUMMYFUNCTION("""COMPUTED_VALUE"""),"ООО ""Ф.М.С. групп""")</f>
        <v>ООО "Ф.М.С. групп"</v>
      </c>
      <c r="AA128" t="str">
        <f ca="1">IFERROR(__xludf.DUMMYFUNCTION("""COMPUTED_VALUE"""),"12-783")</f>
        <v>12-783</v>
      </c>
      <c r="AI128" s="21">
        <f ca="1">IFERROR(__xludf.DUMMYFUNCTION("""COMPUTED_VALUE"""),44420.3576736111)</f>
        <v>44420.357673611099</v>
      </c>
    </row>
    <row r="129" spans="1:35" ht="13" x14ac:dyDescent="0.15">
      <c r="A129">
        <f ca="1">IFERROR(__xludf.DUMMYFUNCTION("""COMPUTED_VALUE"""),461)</f>
        <v>461</v>
      </c>
      <c r="B129" t="str">
        <f ca="1">IFERROR(__xludf.DUMMYFUNCTION("""COMPUTED_VALUE"""),"Техрейс")</f>
        <v>Техрейс</v>
      </c>
      <c r="C129" t="str">
        <f ca="1">IFERROR(__xludf.DUMMYFUNCTION("""COMPUTED_VALUE"""),"ФМС груп")</f>
        <v>ФМС груп</v>
      </c>
      <c r="D129">
        <f ca="1">IFERROR(__xludf.DUMMYFUNCTION("""COMPUTED_VALUE"""),64245186)</f>
        <v>64245186</v>
      </c>
      <c r="E129" t="str">
        <f ca="1">IFERROR(__xludf.DUMMYFUNCTION("""COMPUTED_VALUE"""),"60 ПОЛУВАГОНЫ")</f>
        <v>60 ПОЛУВАГОНЫ</v>
      </c>
      <c r="F129">
        <f ca="1">IFERROR(__xludf.DUMMYFUNCTION("""COMPUTED_VALUE"""),43619)</f>
        <v>43619</v>
      </c>
      <c r="G129" t="str">
        <f ca="1">IFERROR(__xludf.DUMMYFUNCTION("""COMPUTED_VALUE"""),"УДОБР ХИМ ПР")</f>
        <v>УДОБР ХИМ ПР</v>
      </c>
      <c r="H129">
        <f ca="1">IFERROR(__xludf.DUMMYFUNCTION("""COMPUTED_VALUE"""),68)</f>
        <v>68</v>
      </c>
      <c r="I129">
        <f ca="1">IFERROR(__xludf.DUMMYFUNCTION("""COMPUTED_VALUE"""),2154)</f>
        <v>2154</v>
      </c>
      <c r="J129" t="str">
        <f ca="1">IFERROR(__xludf.DUMMYFUNCTION("""COMPUTED_VALUE"""),"3004 (46060-012-46300) ЗАПОРОЖЬЕ II - ПОЛОГИ")</f>
        <v>3004 (46060-012-46300) ЗАПОРОЖЬЕ II - ПОЛОГИ</v>
      </c>
      <c r="K129">
        <f ca="1">IFERROR(__xludf.DUMMYFUNCTION("""COMPUTED_VALUE"""),46300)</f>
        <v>46300</v>
      </c>
      <c r="L129" t="str">
        <f ca="1">IFERROR(__xludf.DUMMYFUNCTION("""COMPUTED_VALUE"""),"ПОЛОГИ")</f>
        <v>ПОЛОГИ</v>
      </c>
      <c r="M129" t="str">
        <f ca="1">IFERROR(__xludf.DUMMYFUNCTION("""COMPUTED_VALUE"""),"11.08.21 20-40")</f>
        <v>11.08.21 20-40</v>
      </c>
      <c r="N129" t="str">
        <f ca="1">IFERROR(__xludf.DUMMYFUNCTION("""COMPUTED_VALUE"""),"04 РАСФ")</f>
        <v>04 РАСФ</v>
      </c>
      <c r="O129">
        <f ca="1">IFERROR(__xludf.DUMMYFUNCTION("""COMPUTED_VALUE"""),46310)</f>
        <v>46310</v>
      </c>
      <c r="P129" t="str">
        <f ca="1">IFERROR(__xludf.DUMMYFUNCTION("""COMPUTED_VALUE"""),"ГУЛЯЙПОЛЕ")</f>
        <v>ГУЛЯЙПОЛЕ</v>
      </c>
      <c r="Q129">
        <f ca="1">IFERROR(__xludf.DUMMYFUNCTION("""COMPUTED_VALUE"""),40210)</f>
        <v>40210</v>
      </c>
      <c r="R129" t="str">
        <f ca="1">IFERROR(__xludf.DUMMYFUNCTION("""COMPUTED_VALUE"""),"ЧЕРНО-ПОРТ-Э")</f>
        <v>ЧЕРНО-ПОРТ-Э</v>
      </c>
      <c r="S129" t="str">
        <f ca="1">IFERROR(__xludf.DUMMYFUNCTION("""COMPUTED_VALUE"""),"03.08.21 17-55")</f>
        <v>03.08.21 17-55</v>
      </c>
      <c r="T129">
        <f ca="1">IFERROR(__xludf.DUMMYFUNCTION("""COMPUTED_VALUE"""),4307)</f>
        <v>4307</v>
      </c>
      <c r="U129" t="str">
        <f ca="1">IFERROR(__xludf.DUMMYFUNCTION("""COMPUTED_VALUE"""),"17.09.2022 ДР")</f>
        <v>17.09.2022 ДР</v>
      </c>
      <c r="Z129" t="str">
        <f ca="1">IFERROR(__xludf.DUMMYFUNCTION("""COMPUTED_VALUE"""),"ООО ""Ф.М.С. групп""")</f>
        <v>ООО "Ф.М.С. групп"</v>
      </c>
      <c r="AA129" t="str">
        <f ca="1">IFERROR(__xludf.DUMMYFUNCTION("""COMPUTED_VALUE"""),"12-783")</f>
        <v>12-783</v>
      </c>
      <c r="AI129" s="21">
        <f ca="1">IFERROR(__xludf.DUMMYFUNCTION("""COMPUTED_VALUE"""),44420.3576736111)</f>
        <v>44420.357673611099</v>
      </c>
    </row>
    <row r="130" spans="1:35" ht="13" x14ac:dyDescent="0.15">
      <c r="A130">
        <f ca="1">IFERROR(__xludf.DUMMYFUNCTION("""COMPUTED_VALUE"""),462)</f>
        <v>462</v>
      </c>
      <c r="B130" t="str">
        <f ca="1">IFERROR(__xludf.DUMMYFUNCTION("""COMPUTED_VALUE"""),"Подольский цемент")</f>
        <v>Подольский цемент</v>
      </c>
      <c r="C130" t="str">
        <f ca="1">IFERROR(__xludf.DUMMYFUNCTION("""COMPUTED_VALUE"""),"ФМС груп")</f>
        <v>ФМС груп</v>
      </c>
      <c r="D130">
        <f ca="1">IFERROR(__xludf.DUMMYFUNCTION("""COMPUTED_VALUE"""),64245202)</f>
        <v>64245202</v>
      </c>
      <c r="E130" t="str">
        <f ca="1">IFERROR(__xludf.DUMMYFUNCTION("""COMPUTED_VALUE"""),"60 ПОЛУВАГОНЫ")</f>
        <v>60 ПОЛУВАГОНЫ</v>
      </c>
      <c r="F130">
        <f ca="1">IFERROR(__xludf.DUMMYFUNCTION("""COMPUTED_VALUE"""),24500)</f>
        <v>24500</v>
      </c>
      <c r="G130" t="str">
        <f ca="1">IFERROR(__xludf.DUMMYFUNCTION("""COMPUTED_VALUE"""),"КЛИНКЕР ЦЕМЕНТ")</f>
        <v>КЛИНКЕР ЦЕМЕНТ</v>
      </c>
      <c r="H130">
        <f ca="1">IFERROR(__xludf.DUMMYFUNCTION("""COMPUTED_VALUE"""),69)</f>
        <v>69</v>
      </c>
      <c r="I130">
        <f ca="1">IFERROR(__xludf.DUMMYFUNCTION("""COMPUTED_VALUE"""),1489)</f>
        <v>1489</v>
      </c>
      <c r="J130" t="str">
        <f ca="1">IFERROR(__xludf.DUMMYFUNCTION("""COMPUTED_VALUE"""),"9511 (33300-030-37780) ГУМЕНЦЫ - НИКОЛАЕВ-ДН")</f>
        <v>9511 (33300-030-37780) ГУМЕНЦЫ - НИКОЛАЕВ-ДН</v>
      </c>
      <c r="K130">
        <f ca="1">IFERROR(__xludf.DUMMYFUNCTION("""COMPUTED_VALUE"""),37780)</f>
        <v>37780</v>
      </c>
      <c r="L130" t="str">
        <f ca="1">IFERROR(__xludf.DUMMYFUNCTION("""COMPUTED_VALUE"""),"НИКОЛАЕВ-ДН")</f>
        <v>НИКОЛАЕВ-ДН</v>
      </c>
      <c r="M130" t="str">
        <f ca="1">IFERROR(__xludf.DUMMYFUNCTION("""COMPUTED_VALUE"""),"10.08.21 17-40")</f>
        <v>10.08.21 17-40</v>
      </c>
      <c r="N130" t="str">
        <f ca="1">IFERROR(__xludf.DUMMYFUNCTION("""COMPUTED_VALUE"""),"21 ВЫГ2")</f>
        <v>21 ВЫГ2</v>
      </c>
      <c r="O130">
        <f ca="1">IFERROR(__xludf.DUMMYFUNCTION("""COMPUTED_VALUE"""),37780)</f>
        <v>37780</v>
      </c>
      <c r="P130" t="str">
        <f ca="1">IFERROR(__xludf.DUMMYFUNCTION("""COMPUTED_VALUE"""),"НИКОЛАЕВ-ДН")</f>
        <v>НИКОЛАЕВ-ДН</v>
      </c>
      <c r="Q130">
        <f ca="1">IFERROR(__xludf.DUMMYFUNCTION("""COMPUTED_VALUE"""),33300)</f>
        <v>33300</v>
      </c>
      <c r="R130" t="str">
        <f ca="1">IFERROR(__xludf.DUMMYFUNCTION("""COMPUTED_VALUE"""),"ГУМЕНЦЫ")</f>
        <v>ГУМЕНЦЫ</v>
      </c>
      <c r="S130" t="str">
        <f ca="1">IFERROR(__xludf.DUMMYFUNCTION("""COMPUTED_VALUE"""),"09.08.21 10-00")</f>
        <v>09.08.21 10-00</v>
      </c>
      <c r="U130" t="str">
        <f ca="1">IFERROR(__xludf.DUMMYFUNCTION("""COMPUTED_VALUE"""),"17.09.2022 ДР")</f>
        <v>17.09.2022 ДР</v>
      </c>
      <c r="Z130" t="str">
        <f ca="1">IFERROR(__xludf.DUMMYFUNCTION("""COMPUTED_VALUE"""),"ООО ""Ф.М.С. групп""")</f>
        <v>ООО "Ф.М.С. групп"</v>
      </c>
      <c r="AA130" t="str">
        <f ca="1">IFERROR(__xludf.DUMMYFUNCTION("""COMPUTED_VALUE"""),"12-783")</f>
        <v>12-783</v>
      </c>
      <c r="AI130" s="21">
        <f ca="1">IFERROR(__xludf.DUMMYFUNCTION("""COMPUTED_VALUE"""),44420.3576736111)</f>
        <v>44420.357673611099</v>
      </c>
    </row>
    <row r="131" spans="1:35" ht="13" x14ac:dyDescent="0.15">
      <c r="A131">
        <f ca="1">IFERROR(__xludf.DUMMYFUNCTION("""COMPUTED_VALUE"""),463)</f>
        <v>463</v>
      </c>
      <c r="B131" t="str">
        <f ca="1">IFERROR(__xludf.DUMMYFUNCTION("""COMPUTED_VALUE"""),"Подольский цемент")</f>
        <v>Подольский цемент</v>
      </c>
      <c r="C131" t="str">
        <f ca="1">IFERROR(__xludf.DUMMYFUNCTION("""COMPUTED_VALUE"""),"ФМС груп")</f>
        <v>ФМС груп</v>
      </c>
      <c r="D131">
        <f ca="1">IFERROR(__xludf.DUMMYFUNCTION("""COMPUTED_VALUE"""),64245210)</f>
        <v>64245210</v>
      </c>
      <c r="E131" t="str">
        <f ca="1">IFERROR(__xludf.DUMMYFUNCTION("""COMPUTED_VALUE"""),"60 ПОЛУВАГОНЫ")</f>
        <v>60 ПОЛУВАГОНЫ</v>
      </c>
      <c r="F131">
        <f ca="1">IFERROR(__xludf.DUMMYFUNCTION("""COMPUTED_VALUE"""),42103)</f>
        <v>42103</v>
      </c>
      <c r="G131" t="str">
        <f ca="1">IFERROR(__xludf.DUMMYFUNCTION("""COMPUTED_VALUE"""),"ВАГОНЫ ЖД СВ")</f>
        <v>ВАГОНЫ ЖД СВ</v>
      </c>
      <c r="H131">
        <f ca="1">IFERROR(__xludf.DUMMYFUNCTION("""COMPUTED_VALUE"""),0)</f>
        <v>0</v>
      </c>
      <c r="I131">
        <f ca="1">IFERROR(__xludf.DUMMYFUNCTION("""COMPUTED_VALUE"""),5268)</f>
        <v>5268</v>
      </c>
      <c r="J131" t="str">
        <f ca="1">IFERROR(__xludf.DUMMYFUNCTION("""COMPUTED_VALUE"""),"2222 (37780-018-37000) НИКОЛАЕВ-ДН - ЛЬВОВ")</f>
        <v>2222 (37780-018-37000) НИКОЛАЕВ-ДН - ЛЬВОВ</v>
      </c>
      <c r="K131">
        <f ca="1">IFERROR(__xludf.DUMMYFUNCTION("""COMPUTED_VALUE"""),37780)</f>
        <v>37780</v>
      </c>
      <c r="L131" t="str">
        <f ca="1">IFERROR(__xludf.DUMMYFUNCTION("""COMPUTED_VALUE"""),"НИКОЛАЕВ-ДН")</f>
        <v>НИКОЛАЕВ-ДН</v>
      </c>
      <c r="M131" t="str">
        <f ca="1">IFERROR(__xludf.DUMMYFUNCTION("""COMPUTED_VALUE"""),"08.08.21 10-00")</f>
        <v>08.08.21 10-00</v>
      </c>
      <c r="N131" t="str">
        <f ca="1">IFERROR(__xludf.DUMMYFUNCTION("""COMPUTED_VALUE"""),"91 ПРДР")</f>
        <v>91 ПРДР</v>
      </c>
      <c r="O131">
        <f ca="1">IFERROR(__xludf.DUMMYFUNCTION("""COMPUTED_VALUE"""),33300)</f>
        <v>33300</v>
      </c>
      <c r="P131" t="str">
        <f ca="1">IFERROR(__xludf.DUMMYFUNCTION("""COMPUTED_VALUE"""),"ГУМЕНЦЫ")</f>
        <v>ГУМЕНЦЫ</v>
      </c>
      <c r="Q131">
        <f ca="1">IFERROR(__xludf.DUMMYFUNCTION("""COMPUTED_VALUE"""),37780)</f>
        <v>37780</v>
      </c>
      <c r="R131" t="str">
        <f ca="1">IFERROR(__xludf.DUMMYFUNCTION("""COMPUTED_VALUE"""),"НИКОЛАЕВ-ДН")</f>
        <v>НИКОЛАЕВ-ДН</v>
      </c>
      <c r="S131" t="str">
        <f ca="1">IFERROR(__xludf.DUMMYFUNCTION("""COMPUTED_VALUE"""),"08.08.21 10-00")</f>
        <v>08.08.21 10-00</v>
      </c>
      <c r="T131">
        <f ca="1">IFERROR(__xludf.DUMMYFUNCTION("""COMPUTED_VALUE"""),1489)</f>
        <v>1489</v>
      </c>
      <c r="U131" t="str">
        <f ca="1">IFERROR(__xludf.DUMMYFUNCTION("""COMPUTED_VALUE"""),"17.09.2022 ДР")</f>
        <v>17.09.2022 ДР</v>
      </c>
      <c r="Z131" t="str">
        <f ca="1">IFERROR(__xludf.DUMMYFUNCTION("""COMPUTED_VALUE"""),"ООО ""Ф.М.С. групп""")</f>
        <v>ООО "Ф.М.С. групп"</v>
      </c>
      <c r="AA131" t="str">
        <f ca="1">IFERROR(__xludf.DUMMYFUNCTION("""COMPUTED_VALUE"""),"12-783")</f>
        <v>12-783</v>
      </c>
      <c r="AI131" s="21">
        <f ca="1">IFERROR(__xludf.DUMMYFUNCTION("""COMPUTED_VALUE"""),44420.3576736111)</f>
        <v>44420.357673611099</v>
      </c>
    </row>
    <row r="132" spans="1:35" ht="13" x14ac:dyDescent="0.15">
      <c r="A132">
        <f ca="1">IFERROR(__xludf.DUMMYFUNCTION("""COMPUTED_VALUE"""),464)</f>
        <v>464</v>
      </c>
      <c r="B132" t="str">
        <f ca="1">IFERROR(__xludf.DUMMYFUNCTION("""COMPUTED_VALUE"""),"Трансцентр")</f>
        <v>Трансцентр</v>
      </c>
      <c r="C132" t="str">
        <f ca="1">IFERROR(__xludf.DUMMYFUNCTION("""COMPUTED_VALUE"""),"Индустриальные решения")</f>
        <v>Индустриальные решения</v>
      </c>
      <c r="D132">
        <f ca="1">IFERROR(__xludf.DUMMYFUNCTION("""COMPUTED_VALUE"""),60958287)</f>
        <v>60958287</v>
      </c>
      <c r="E132" t="str">
        <f ca="1">IFERROR(__xludf.DUMMYFUNCTION("""COMPUTED_VALUE"""),"60 ПОЛУВАГОНЫ")</f>
        <v>60 ПОЛУВАГОНЫ</v>
      </c>
      <c r="F132">
        <f ca="1">IFERROR(__xludf.DUMMYFUNCTION("""COMPUTED_VALUE"""),42103)</f>
        <v>42103</v>
      </c>
      <c r="G132" t="str">
        <f ca="1">IFERROR(__xludf.DUMMYFUNCTION("""COMPUTED_VALUE"""),"ВАГОНЫ ЖД СВ")</f>
        <v>ВАГОНЫ ЖД СВ</v>
      </c>
      <c r="H132">
        <f ca="1">IFERROR(__xludf.DUMMYFUNCTION("""COMPUTED_VALUE"""),69)</f>
        <v>69</v>
      </c>
      <c r="I132">
        <f ca="1">IFERROR(__xludf.DUMMYFUNCTION("""COMPUTED_VALUE"""),4279)</f>
        <v>4279</v>
      </c>
      <c r="J132" t="str">
        <f ca="1">IFERROR(__xludf.DUMMYFUNCTION("""COMPUTED_VALUE"""),"3501 (34000-055-34850) ШЕПЕТОВКА - УШИЦА")</f>
        <v>3501 (34000-055-34850) ШЕПЕТОВКА - УШИЦА</v>
      </c>
      <c r="K132">
        <f ca="1">IFERROR(__xludf.DUMMYFUNCTION("""COMPUTED_VALUE"""),34000)</f>
        <v>34000</v>
      </c>
      <c r="L132" t="str">
        <f ca="1">IFERROR(__xludf.DUMMYFUNCTION("""COMPUTED_VALUE"""),"ШЕПЕТОВКА")</f>
        <v>ШЕПЕТОВКА</v>
      </c>
      <c r="M132" t="str">
        <f ca="1">IFERROR(__xludf.DUMMYFUNCTION("""COMPUTED_VALUE"""),"12.08.21 01-01")</f>
        <v>12.08.21 01-01</v>
      </c>
      <c r="N132" t="str">
        <f ca="1">IFERROR(__xludf.DUMMYFUNCTION("""COMPUTED_VALUE"""),"05 ФОРМ")</f>
        <v>05 ФОРМ</v>
      </c>
      <c r="O132">
        <f ca="1">IFERROR(__xludf.DUMMYFUNCTION("""COMPUTED_VALUE"""),34780)</f>
        <v>34780</v>
      </c>
      <c r="P132" t="str">
        <f ca="1">IFERROR(__xludf.DUMMYFUNCTION("""COMPUTED_VALUE"""),"МАЙДАН-ВИЛА")</f>
        <v>МАЙДАН-ВИЛА</v>
      </c>
      <c r="Q132">
        <f ca="1">IFERROR(__xludf.DUMMYFUNCTION("""COMPUTED_VALUE"""),34780)</f>
        <v>34780</v>
      </c>
      <c r="R132" t="str">
        <f ca="1">IFERROR(__xludf.DUMMYFUNCTION("""COMPUTED_VALUE"""),"МАЙДАН-ВИЛА")</f>
        <v>МАЙДАН-ВИЛА</v>
      </c>
      <c r="S132" t="str">
        <f ca="1">IFERROR(__xludf.DUMMYFUNCTION("""COMPUTED_VALUE"""),"29.07.21 13-10")</f>
        <v>29.07.21 13-10</v>
      </c>
      <c r="T132">
        <f ca="1">IFERROR(__xludf.DUMMYFUNCTION("""COMPUTED_VALUE"""),0)</f>
        <v>0</v>
      </c>
      <c r="U132" t="str">
        <f ca="1">IFERROR(__xludf.DUMMYFUNCTION("""COMPUTED_VALUE"""),"02.10.2022 ДР")</f>
        <v>02.10.2022 ДР</v>
      </c>
      <c r="Z132" t="str">
        <f ca="1">IFERROR(__xludf.DUMMYFUNCTION("""COMPUTED_VALUE"""),"ООО ""ИНДУСТРИАЛЬНЫЕ РЕШЕНИЯ""")</f>
        <v>ООО "ИНДУСТРИАЛЬНЫЕ РЕШЕНИЯ"</v>
      </c>
      <c r="AA132" t="str">
        <f ca="1">IFERROR(__xludf.DUMMYFUNCTION("""COMPUTED_VALUE"""),"12-783")</f>
        <v>12-783</v>
      </c>
      <c r="AB132" t="str">
        <f ca="1">IFERROR(__xludf.DUMMYFUNCTION("""COMPUTED_VALUE"""),"32 Ю-ЗАП")</f>
        <v>32 Ю-ЗАП</v>
      </c>
      <c r="AC132" t="str">
        <f ca="1">IFERROR(__xludf.DUMMYFUNCTION("""COMPUTED_VALUE"""),"34000 ШЕПЕТОВКА")</f>
        <v>34000 ШЕПЕТОВКА</v>
      </c>
      <c r="AD132" t="str">
        <f ca="1">IFERROR(__xludf.DUMMYFUNCTION("""COMPUTED_VALUE"""),"08.03.21 08-20")</f>
        <v>08.03.21 08-20</v>
      </c>
      <c r="AE132" t="str">
        <f ca="1">IFERROR(__xludf.DUMMYFUNCTION("""COMPUTED_VALUE"""),"503 OБPЫВ CВAPНOГO ШВA CТOЙКИ")</f>
        <v>503 OБPЫВ CВAPНOГO ШВA CТOЙКИ</v>
      </c>
      <c r="AF132" t="str">
        <f ca="1">IFERROR(__xludf.DUMMYFUNCTION("""COMPUTED_VALUE"""),"32 Ю-ЗАП")</f>
        <v>32 Ю-ЗАП</v>
      </c>
      <c r="AG132" t="str">
        <f ca="1">IFERROR(__xludf.DUMMYFUNCTION("""COMPUTED_VALUE"""),"34000 ШЕПЕТОВКА")</f>
        <v>34000 ШЕПЕТОВКА</v>
      </c>
      <c r="AH132" t="str">
        <f ca="1">IFERROR(__xludf.DUMMYFUNCTION("""COMPUTED_VALUE"""),"13.03.21 11-00")</f>
        <v>13.03.21 11-00</v>
      </c>
      <c r="AI132" s="21">
        <f ca="1">IFERROR(__xludf.DUMMYFUNCTION("""COMPUTED_VALUE"""),44420.3576736111)</f>
        <v>44420.357673611099</v>
      </c>
    </row>
    <row r="133" spans="1:35" ht="13" x14ac:dyDescent="0.15">
      <c r="A133">
        <f ca="1">IFERROR(__xludf.DUMMYFUNCTION("""COMPUTED_VALUE"""),465)</f>
        <v>465</v>
      </c>
      <c r="B133" t="str">
        <f ca="1">IFERROR(__xludf.DUMMYFUNCTION("""COMPUTED_VALUE"""),"Трансцентр")</f>
        <v>Трансцентр</v>
      </c>
      <c r="C133" t="str">
        <f ca="1">IFERROR(__xludf.DUMMYFUNCTION("""COMPUTED_VALUE"""),"Индустриальные решения")</f>
        <v>Индустриальные решения</v>
      </c>
      <c r="D133">
        <f ca="1">IFERROR(__xludf.DUMMYFUNCTION("""COMPUTED_VALUE"""),60959871)</f>
        <v>60959871</v>
      </c>
      <c r="E133" t="str">
        <f ca="1">IFERROR(__xludf.DUMMYFUNCTION("""COMPUTED_VALUE"""),"60 ПОЛУВАГОНЫ")</f>
        <v>60 ПОЛУВАГОНЫ</v>
      </c>
      <c r="F133">
        <f ca="1">IFERROR(__xludf.DUMMYFUNCTION("""COMPUTED_VALUE"""),42103)</f>
        <v>42103</v>
      </c>
      <c r="G133" t="str">
        <f ca="1">IFERROR(__xludf.DUMMYFUNCTION("""COMPUTED_VALUE"""),"ВАГОНЫ ЖД СВ")</f>
        <v>ВАГОНЫ ЖД СВ</v>
      </c>
      <c r="H133">
        <f ca="1">IFERROR(__xludf.DUMMYFUNCTION("""COMPUTED_VALUE"""),69)</f>
        <v>69</v>
      </c>
      <c r="I133">
        <f ca="1">IFERROR(__xludf.DUMMYFUNCTION("""COMPUTED_VALUE"""),4279)</f>
        <v>4279</v>
      </c>
      <c r="J133" t="str">
        <f ca="1">IFERROR(__xludf.DUMMYFUNCTION("""COMPUTED_VALUE"""),"3501 (34000-055-34850) ШЕПЕТОВКА - УШИЦА")</f>
        <v>3501 (34000-055-34850) ШЕПЕТОВКА - УШИЦА</v>
      </c>
      <c r="K133">
        <f ca="1">IFERROR(__xludf.DUMMYFUNCTION("""COMPUTED_VALUE"""),34000)</f>
        <v>34000</v>
      </c>
      <c r="L133" t="str">
        <f ca="1">IFERROR(__xludf.DUMMYFUNCTION("""COMPUTED_VALUE"""),"ШЕПЕТОВКА")</f>
        <v>ШЕПЕТОВКА</v>
      </c>
      <c r="M133" t="str">
        <f ca="1">IFERROR(__xludf.DUMMYFUNCTION("""COMPUTED_VALUE"""),"12.08.21 01-01")</f>
        <v>12.08.21 01-01</v>
      </c>
      <c r="N133" t="str">
        <f ca="1">IFERROR(__xludf.DUMMYFUNCTION("""COMPUTED_VALUE"""),"05 ФОРМ")</f>
        <v>05 ФОРМ</v>
      </c>
      <c r="O133">
        <f ca="1">IFERROR(__xludf.DUMMYFUNCTION("""COMPUTED_VALUE"""),34780)</f>
        <v>34780</v>
      </c>
      <c r="P133" t="str">
        <f ca="1">IFERROR(__xludf.DUMMYFUNCTION("""COMPUTED_VALUE"""),"МАЙДАН-ВИЛА")</f>
        <v>МАЙДАН-ВИЛА</v>
      </c>
      <c r="Q133">
        <f ca="1">IFERROR(__xludf.DUMMYFUNCTION("""COMPUTED_VALUE"""),34780)</f>
        <v>34780</v>
      </c>
      <c r="R133" t="str">
        <f ca="1">IFERROR(__xludf.DUMMYFUNCTION("""COMPUTED_VALUE"""),"МАЙДАН-ВИЛА")</f>
        <v>МАЙДАН-ВИЛА</v>
      </c>
      <c r="S133" t="str">
        <f ca="1">IFERROR(__xludf.DUMMYFUNCTION("""COMPUTED_VALUE"""),"29.07.21 13-10")</f>
        <v>29.07.21 13-10</v>
      </c>
      <c r="T133">
        <f ca="1">IFERROR(__xludf.DUMMYFUNCTION("""COMPUTED_VALUE"""),0)</f>
        <v>0</v>
      </c>
      <c r="U133" t="str">
        <f ca="1">IFERROR(__xludf.DUMMYFUNCTION("""COMPUTED_VALUE"""),"02.10.2022 ДР")</f>
        <v>02.10.2022 ДР</v>
      </c>
      <c r="Z133" t="str">
        <f ca="1">IFERROR(__xludf.DUMMYFUNCTION("""COMPUTED_VALUE"""),"ООО ""ИНДУСТРИАЛЬНЫЕ РЕШЕНИЯ""")</f>
        <v>ООО "ИНДУСТРИАЛЬНЫЕ РЕШЕНИЯ"</v>
      </c>
      <c r="AA133" t="str">
        <f ca="1">IFERROR(__xludf.DUMMYFUNCTION("""COMPUTED_VALUE"""),"12-783")</f>
        <v>12-783</v>
      </c>
      <c r="AB133" t="str">
        <f ca="1">IFERROR(__xludf.DUMMYFUNCTION("""COMPUTED_VALUE"""),"32 Ю-ЗАП")</f>
        <v>32 Ю-ЗАП</v>
      </c>
      <c r="AC133" t="str">
        <f ca="1">IFERROR(__xludf.DUMMYFUNCTION("""COMPUTED_VALUE"""),"34000 ШЕПЕТОВКА")</f>
        <v>34000 ШЕПЕТОВКА</v>
      </c>
      <c r="AD133" t="str">
        <f ca="1">IFERROR(__xludf.DUMMYFUNCTION("""COMPUTED_VALUE"""),"07.03.21 20-20")</f>
        <v>07.03.21 20-20</v>
      </c>
      <c r="AE133" t="str">
        <f ca="1">IFERROR(__xludf.DUMMYFUNCTION("""COMPUTED_VALUE"""),"503 OБPЫВ CВAPНOГO ШВA CТOЙКИ")</f>
        <v>503 OБPЫВ CВAPНOГO ШВA CТOЙКИ</v>
      </c>
      <c r="AF133" t="str">
        <f ca="1">IFERROR(__xludf.DUMMYFUNCTION("""COMPUTED_VALUE"""),"32 Ю-ЗАП")</f>
        <v>32 Ю-ЗАП</v>
      </c>
      <c r="AG133" t="str">
        <f ca="1">IFERROR(__xludf.DUMMYFUNCTION("""COMPUTED_VALUE"""),"34000 ШЕПЕТОВКА")</f>
        <v>34000 ШЕПЕТОВКА</v>
      </c>
      <c r="AH133" t="str">
        <f ca="1">IFERROR(__xludf.DUMMYFUNCTION("""COMPUTED_VALUE"""),"13.03.21 11-00")</f>
        <v>13.03.21 11-00</v>
      </c>
      <c r="AI133" s="21">
        <f ca="1">IFERROR(__xludf.DUMMYFUNCTION("""COMPUTED_VALUE"""),44420.3576736111)</f>
        <v>44420.357673611099</v>
      </c>
    </row>
    <row r="134" spans="1:35" ht="13" x14ac:dyDescent="0.15">
      <c r="A134">
        <f ca="1">IFERROR(__xludf.DUMMYFUNCTION("""COMPUTED_VALUE"""),466)</f>
        <v>466</v>
      </c>
      <c r="B134" t="str">
        <f ca="1">IFERROR(__xludf.DUMMYFUNCTION("""COMPUTED_VALUE"""),"Техрейс")</f>
        <v>Техрейс</v>
      </c>
      <c r="C134" t="str">
        <f ca="1">IFERROR(__xludf.DUMMYFUNCTION("""COMPUTED_VALUE"""),"Индустриальные решения")</f>
        <v>Индустриальные решения</v>
      </c>
      <c r="D134">
        <f ca="1">IFERROR(__xludf.DUMMYFUNCTION("""COMPUTED_VALUE"""),60960630)</f>
        <v>60960630</v>
      </c>
      <c r="E134" t="str">
        <f ca="1">IFERROR(__xludf.DUMMYFUNCTION("""COMPUTED_VALUE"""),"60 ПОЛУВАГОНЫ")</f>
        <v>60 ПОЛУВАГОНЫ</v>
      </c>
      <c r="F134">
        <f ca="1">IFERROR(__xludf.DUMMYFUNCTION("""COMPUTED_VALUE"""),42103)</f>
        <v>42103</v>
      </c>
      <c r="G134" t="str">
        <f ca="1">IFERROR(__xludf.DUMMYFUNCTION("""COMPUTED_VALUE"""),"ВАГОНЫ ЖД СВ")</f>
        <v>ВАГОНЫ ЖД СВ</v>
      </c>
      <c r="H134">
        <f ca="1">IFERROR(__xludf.DUMMYFUNCTION("""COMPUTED_VALUE"""),0)</f>
        <v>0</v>
      </c>
      <c r="I134">
        <f ca="1">IFERROR(__xludf.DUMMYFUNCTION("""COMPUTED_VALUE"""),5377)</f>
        <v>5377</v>
      </c>
      <c r="J134" t="str">
        <f ca="1">IFERROR(__xludf.DUMMYFUNCTION("""COMPUTED_VALUE"""),"4831 (49020-010-49000) СВЯТОГОРСК - ЛИМАН")</f>
        <v>4831 (49020-010-49000) СВЯТОГОРСК - ЛИМАН</v>
      </c>
      <c r="K134">
        <f ca="1">IFERROR(__xludf.DUMMYFUNCTION("""COMPUTED_VALUE"""),49020)</f>
        <v>49020</v>
      </c>
      <c r="L134" t="str">
        <f ca="1">IFERROR(__xludf.DUMMYFUNCTION("""COMPUTED_VALUE"""),"СВЯТОГОРСК")</f>
        <v>СВЯТОГОРСК</v>
      </c>
      <c r="M134" t="str">
        <f ca="1">IFERROR(__xludf.DUMMYFUNCTION("""COMPUTED_VALUE"""),"11.08.21 05-54")</f>
        <v>11.08.21 05-54</v>
      </c>
      <c r="N134" t="str">
        <f ca="1">IFERROR(__xludf.DUMMYFUNCTION("""COMPUTED_VALUE"""),"05 ФОРМ")</f>
        <v>05 ФОРМ</v>
      </c>
      <c r="O134">
        <f ca="1">IFERROR(__xludf.DUMMYFUNCTION("""COMPUTED_VALUE"""),49480)</f>
        <v>49480</v>
      </c>
      <c r="P134" t="str">
        <f ca="1">IFERROR(__xludf.DUMMYFUNCTION("""COMPUTED_VALUE"""),"СОЛЬ")</f>
        <v>СОЛЬ</v>
      </c>
      <c r="Q134">
        <f ca="1">IFERROR(__xludf.DUMMYFUNCTION("""COMPUTED_VALUE"""),49020)</f>
        <v>49020</v>
      </c>
      <c r="R134" t="str">
        <f ca="1">IFERROR(__xludf.DUMMYFUNCTION("""COMPUTED_VALUE"""),"СВЯТОГОРСК")</f>
        <v>СВЯТОГОРСК</v>
      </c>
      <c r="S134" t="str">
        <f ca="1">IFERROR(__xludf.DUMMYFUNCTION("""COMPUTED_VALUE"""),"10.08.21 10-25")</f>
        <v>10.08.21 10-25</v>
      </c>
      <c r="T134">
        <f ca="1">IFERROR(__xludf.DUMMYFUNCTION("""COMPUTED_VALUE"""),8200)</f>
        <v>8200</v>
      </c>
      <c r="U134" t="str">
        <f ca="1">IFERROR(__xludf.DUMMYFUNCTION("""COMPUTED_VALUE"""),"03.10.2022 ДР")</f>
        <v>03.10.2022 ДР</v>
      </c>
      <c r="Z134" t="str">
        <f ca="1">IFERROR(__xludf.DUMMYFUNCTION("""COMPUTED_VALUE"""),"ООО ""ИНДУСТРИАЛЬНЫЕ РЕШЕНИЯ""")</f>
        <v>ООО "ИНДУСТРИАЛЬНЫЕ РЕШЕНИЯ"</v>
      </c>
      <c r="AA134" t="str">
        <f ca="1">IFERROR(__xludf.DUMMYFUNCTION("""COMPUTED_VALUE"""),"12-783")</f>
        <v>12-783</v>
      </c>
      <c r="AI134" s="21">
        <f ca="1">IFERROR(__xludf.DUMMYFUNCTION("""COMPUTED_VALUE"""),44420.3576736111)</f>
        <v>44420.357673611099</v>
      </c>
    </row>
    <row r="135" spans="1:35" ht="13" x14ac:dyDescent="0.15">
      <c r="A135">
        <f ca="1">IFERROR(__xludf.DUMMYFUNCTION("""COMPUTED_VALUE"""),467)</f>
        <v>467</v>
      </c>
      <c r="B135" t="str">
        <f ca="1">IFERROR(__xludf.DUMMYFUNCTION("""COMPUTED_VALUE"""),"Техрейс")</f>
        <v>Техрейс</v>
      </c>
      <c r="C135" t="str">
        <f ca="1">IFERROR(__xludf.DUMMYFUNCTION("""COMPUTED_VALUE"""),"Индустриальные решения")</f>
        <v>Индустриальные решения</v>
      </c>
      <c r="D135">
        <f ca="1">IFERROR(__xludf.DUMMYFUNCTION("""COMPUTED_VALUE"""),60962024)</f>
        <v>60962024</v>
      </c>
      <c r="E135" t="str">
        <f ca="1">IFERROR(__xludf.DUMMYFUNCTION("""COMPUTED_VALUE"""),"60 ПОЛУВАГОНЫ")</f>
        <v>60 ПОЛУВАГОНЫ</v>
      </c>
      <c r="F135">
        <f ca="1">IFERROR(__xludf.DUMMYFUNCTION("""COMPUTED_VALUE"""),48326)</f>
        <v>48326</v>
      </c>
      <c r="G135" t="str">
        <f ca="1">IFERROR(__xludf.DUMMYFUNCTION("""COMPUTED_VALUE"""),"ЖЕЛЕЗА СУЛЬФАТ")</f>
        <v>ЖЕЛЕЗА СУЛЬФАТ</v>
      </c>
      <c r="H135">
        <f ca="1">IFERROR(__xludf.DUMMYFUNCTION("""COMPUTED_VALUE"""),51)</f>
        <v>51</v>
      </c>
      <c r="I135">
        <f ca="1">IFERROR(__xludf.DUMMYFUNCTION("""COMPUTED_VALUE"""),4306)</f>
        <v>4306</v>
      </c>
      <c r="J135" t="str">
        <f ca="1">IFERROR(__xludf.DUMMYFUNCTION("""COMPUTED_VALUE"""),"2542 (44600-447-44020) ТРОСТ-СМОРОД - ОСНОВА")</f>
        <v>2542 (44600-447-44020) ТРОСТ-СМОРОД - ОСНОВА</v>
      </c>
      <c r="K135">
        <f ca="1">IFERROR(__xludf.DUMMYFUNCTION("""COMPUTED_VALUE"""),44960)</f>
        <v>44960</v>
      </c>
      <c r="L135" t="str">
        <f ca="1">IFERROR(__xludf.DUMMYFUNCTION("""COMPUTED_VALUE"""),"ЛЮБОТИН")</f>
        <v>ЛЮБОТИН</v>
      </c>
      <c r="M135" t="str">
        <f ca="1">IFERROR(__xludf.DUMMYFUNCTION("""COMPUTED_VALUE"""),"12.08.21 08-10")</f>
        <v>12.08.21 08-10</v>
      </c>
      <c r="N135" t="str">
        <f ca="1">IFERROR(__xludf.DUMMYFUNCTION("""COMPUTED_VALUE"""),"42 ОТПР")</f>
        <v>42 ОТПР</v>
      </c>
      <c r="O135">
        <f ca="1">IFERROR(__xludf.DUMMYFUNCTION("""COMPUTED_VALUE"""),40510)</f>
        <v>40510</v>
      </c>
      <c r="P135" t="str">
        <f ca="1">IFERROR(__xludf.DUMMYFUNCTION("""COMPUTED_VALUE"""),"ОДЕССА-ЗАС I")</f>
        <v>ОДЕССА-ЗАС I</v>
      </c>
      <c r="Q135">
        <f ca="1">IFERROR(__xludf.DUMMYFUNCTION("""COMPUTED_VALUE"""),44560)</f>
        <v>44560</v>
      </c>
      <c r="R135" t="str">
        <f ca="1">IFERROR(__xludf.DUMMYFUNCTION("""COMPUTED_VALUE"""),"БАСЫ")</f>
        <v>БАСЫ</v>
      </c>
      <c r="S135" t="str">
        <f ca="1">IFERROR(__xludf.DUMMYFUNCTION("""COMPUTED_VALUE"""),"10.08.21 17-00")</f>
        <v>10.08.21 17-00</v>
      </c>
      <c r="T135">
        <f ca="1">IFERROR(__xludf.DUMMYFUNCTION("""COMPUTED_VALUE"""),1673)</f>
        <v>1673</v>
      </c>
      <c r="U135" t="str">
        <f ca="1">IFERROR(__xludf.DUMMYFUNCTION("""COMPUTED_VALUE"""),"03.10.2022 ДР")</f>
        <v>03.10.2022 ДР</v>
      </c>
      <c r="Z135" t="str">
        <f ca="1">IFERROR(__xludf.DUMMYFUNCTION("""COMPUTED_VALUE"""),"ООО ""ИНДУСТРИАЛЬНЫЕ РЕШЕНИЯ""")</f>
        <v>ООО "ИНДУСТРИАЛЬНЫЕ РЕШЕНИЯ"</v>
      </c>
      <c r="AA135" t="str">
        <f ca="1">IFERROR(__xludf.DUMMYFUNCTION("""COMPUTED_VALUE"""),"12-783")</f>
        <v>12-783</v>
      </c>
      <c r="AI135" s="21">
        <f ca="1">IFERROR(__xludf.DUMMYFUNCTION("""COMPUTED_VALUE"""),44420.3576736111)</f>
        <v>44420.357673611099</v>
      </c>
    </row>
    <row r="136" spans="1:35" ht="13" x14ac:dyDescent="0.15">
      <c r="A136">
        <f ca="1">IFERROR(__xludf.DUMMYFUNCTION("""COMPUTED_VALUE"""),468)</f>
        <v>468</v>
      </c>
      <c r="B136" t="str">
        <f ca="1">IFERROR(__xludf.DUMMYFUNCTION("""COMPUTED_VALUE"""),"Техрейс")</f>
        <v>Техрейс</v>
      </c>
      <c r="C136" t="str">
        <f ca="1">IFERROR(__xludf.DUMMYFUNCTION("""COMPUTED_VALUE"""),"Индустриальные решения")</f>
        <v>Индустриальные решения</v>
      </c>
      <c r="D136">
        <f ca="1">IFERROR(__xludf.DUMMYFUNCTION("""COMPUTED_VALUE"""),60962883)</f>
        <v>60962883</v>
      </c>
      <c r="E136" t="str">
        <f ca="1">IFERROR(__xludf.DUMMYFUNCTION("""COMPUTED_VALUE"""),"60 ПОЛУВАГОНЫ")</f>
        <v>60 ПОЛУВАГОНЫ</v>
      </c>
      <c r="F136">
        <f ca="1">IFERROR(__xludf.DUMMYFUNCTION("""COMPUTED_VALUE"""),42103)</f>
        <v>42103</v>
      </c>
      <c r="G136" t="str">
        <f ca="1">IFERROR(__xludf.DUMMYFUNCTION("""COMPUTED_VALUE"""),"ВАГОНЫ ЖД СВ")</f>
        <v>ВАГОНЫ ЖД СВ</v>
      </c>
      <c r="H136">
        <f ca="1">IFERROR(__xludf.DUMMYFUNCTION("""COMPUTED_VALUE"""),0)</f>
        <v>0</v>
      </c>
      <c r="I136">
        <f ca="1">IFERROR(__xludf.DUMMYFUNCTION("""COMPUTED_VALUE"""),5377)</f>
        <v>5377</v>
      </c>
      <c r="J136" t="str">
        <f ca="1">IFERROR(__xludf.DUMMYFUNCTION("""COMPUTED_VALUE"""),"1111 (49820-008-49600) ПЕРЕЕЗДНАЯ - ПОПАСНАЯ")</f>
        <v>1111 (49820-008-49600) ПЕРЕЕЗДНАЯ - ПОПАСНАЯ</v>
      </c>
      <c r="K136">
        <f ca="1">IFERROR(__xludf.DUMMYFUNCTION("""COMPUTED_VALUE"""),49820)</f>
        <v>49820</v>
      </c>
      <c r="L136" t="str">
        <f ca="1">IFERROR(__xludf.DUMMYFUNCTION("""COMPUTED_VALUE"""),"ПЕРЕЕЗДНАЯ")</f>
        <v>ПЕРЕЕЗДНАЯ</v>
      </c>
      <c r="M136" t="str">
        <f ca="1">IFERROR(__xludf.DUMMYFUNCTION("""COMPUTED_VALUE"""),"11.08.21 22-40")</f>
        <v>11.08.21 22-40</v>
      </c>
      <c r="N136" t="str">
        <f ca="1">IFERROR(__xludf.DUMMYFUNCTION("""COMPUTED_VALUE"""),"91 ПРДР")</f>
        <v>91 ПРДР</v>
      </c>
      <c r="O136">
        <f ca="1">IFERROR(__xludf.DUMMYFUNCTION("""COMPUTED_VALUE"""),49480)</f>
        <v>49480</v>
      </c>
      <c r="P136" t="str">
        <f ca="1">IFERROR(__xludf.DUMMYFUNCTION("""COMPUTED_VALUE"""),"СОЛЬ")</f>
        <v>СОЛЬ</v>
      </c>
      <c r="Q136">
        <f ca="1">IFERROR(__xludf.DUMMYFUNCTION("""COMPUTED_VALUE"""),49820)</f>
        <v>49820</v>
      </c>
      <c r="R136" t="str">
        <f ca="1">IFERROR(__xludf.DUMMYFUNCTION("""COMPUTED_VALUE"""),"ПЕРЕЕЗДНАЯ")</f>
        <v>ПЕРЕЕЗДНАЯ</v>
      </c>
      <c r="S136" t="str">
        <f ca="1">IFERROR(__xludf.DUMMYFUNCTION("""COMPUTED_VALUE"""),"11.08.21 17-00")</f>
        <v>11.08.21 17-00</v>
      </c>
      <c r="T136">
        <f ca="1">IFERROR(__xludf.DUMMYFUNCTION("""COMPUTED_VALUE"""),8200)</f>
        <v>8200</v>
      </c>
      <c r="U136" t="str">
        <f ca="1">IFERROR(__xludf.DUMMYFUNCTION("""COMPUTED_VALUE"""),"03.10.2022 ДР")</f>
        <v>03.10.2022 ДР</v>
      </c>
      <c r="Z136" t="str">
        <f ca="1">IFERROR(__xludf.DUMMYFUNCTION("""COMPUTED_VALUE"""),"ООО ""ИНДУСТРИАЛЬНЫЕ РЕШЕНИЯ""")</f>
        <v>ООО "ИНДУСТРИАЛЬНЫЕ РЕШЕНИЯ"</v>
      </c>
      <c r="AA136" t="str">
        <f ca="1">IFERROR(__xludf.DUMMYFUNCTION("""COMPUTED_VALUE"""),"12-783")</f>
        <v>12-783</v>
      </c>
      <c r="AI136" s="21">
        <f ca="1">IFERROR(__xludf.DUMMYFUNCTION("""COMPUTED_VALUE"""),44420.3576736111)</f>
        <v>44420.357673611099</v>
      </c>
    </row>
    <row r="137" spans="1:35" ht="13" x14ac:dyDescent="0.15">
      <c r="A137">
        <f ca="1">IFERROR(__xludf.DUMMYFUNCTION("""COMPUTED_VALUE"""),470)</f>
        <v>470</v>
      </c>
      <c r="B137" t="str">
        <f ca="1">IFERROR(__xludf.DUMMYFUNCTION("""COMPUTED_VALUE"""),"Трансцентр")</f>
        <v>Трансцентр</v>
      </c>
      <c r="C137" t="str">
        <f ca="1">IFERROR(__xludf.DUMMYFUNCTION("""COMPUTED_VALUE"""),"Индустриальные решения")</f>
        <v>Индустриальные решения</v>
      </c>
      <c r="D137">
        <f ca="1">IFERROR(__xludf.DUMMYFUNCTION("""COMPUTED_VALUE"""),60963147)</f>
        <v>60963147</v>
      </c>
      <c r="E137" t="str">
        <f ca="1">IFERROR(__xludf.DUMMYFUNCTION("""COMPUTED_VALUE"""),"60 ПОЛУВАГОНЫ")</f>
        <v>60 ПОЛУВАГОНЫ</v>
      </c>
      <c r="F137">
        <f ca="1">IFERROR(__xludf.DUMMYFUNCTION("""COMPUTED_VALUE"""),42103)</f>
        <v>42103</v>
      </c>
      <c r="G137" t="str">
        <f ca="1">IFERROR(__xludf.DUMMYFUNCTION("""COMPUTED_VALUE"""),"ВАГОНЫ ЖД СВ")</f>
        <v>ВАГОНЫ ЖД СВ</v>
      </c>
      <c r="H137">
        <f ca="1">IFERROR(__xludf.DUMMYFUNCTION("""COMPUTED_VALUE"""),69)</f>
        <v>69</v>
      </c>
      <c r="I137">
        <f ca="1">IFERROR(__xludf.DUMMYFUNCTION("""COMPUTED_VALUE"""),4279)</f>
        <v>4279</v>
      </c>
      <c r="J137" t="str">
        <f ca="1">IFERROR(__xludf.DUMMYFUNCTION("""COMPUTED_VALUE"""),"3501 (34000-055-34850) ШЕПЕТОВКА - УШИЦА")</f>
        <v>3501 (34000-055-34850) ШЕПЕТОВКА - УШИЦА</v>
      </c>
      <c r="K137">
        <f ca="1">IFERROR(__xludf.DUMMYFUNCTION("""COMPUTED_VALUE"""),34000)</f>
        <v>34000</v>
      </c>
      <c r="L137" t="str">
        <f ca="1">IFERROR(__xludf.DUMMYFUNCTION("""COMPUTED_VALUE"""),"ШЕПЕТОВКА")</f>
        <v>ШЕПЕТОВКА</v>
      </c>
      <c r="M137" t="str">
        <f ca="1">IFERROR(__xludf.DUMMYFUNCTION("""COMPUTED_VALUE"""),"12.08.21 01-01")</f>
        <v>12.08.21 01-01</v>
      </c>
      <c r="N137" t="str">
        <f ca="1">IFERROR(__xludf.DUMMYFUNCTION("""COMPUTED_VALUE"""),"05 ФОРМ")</f>
        <v>05 ФОРМ</v>
      </c>
      <c r="O137">
        <f ca="1">IFERROR(__xludf.DUMMYFUNCTION("""COMPUTED_VALUE"""),34780)</f>
        <v>34780</v>
      </c>
      <c r="P137" t="str">
        <f ca="1">IFERROR(__xludf.DUMMYFUNCTION("""COMPUTED_VALUE"""),"МАЙДАН-ВИЛА")</f>
        <v>МАЙДАН-ВИЛА</v>
      </c>
      <c r="Q137">
        <f ca="1">IFERROR(__xludf.DUMMYFUNCTION("""COMPUTED_VALUE"""),34780)</f>
        <v>34780</v>
      </c>
      <c r="R137" t="str">
        <f ca="1">IFERROR(__xludf.DUMMYFUNCTION("""COMPUTED_VALUE"""),"МАЙДАН-ВИЛА")</f>
        <v>МАЙДАН-ВИЛА</v>
      </c>
      <c r="S137" t="str">
        <f ca="1">IFERROR(__xludf.DUMMYFUNCTION("""COMPUTED_VALUE"""),"29.07.21 13-10")</f>
        <v>29.07.21 13-10</v>
      </c>
      <c r="T137">
        <f ca="1">IFERROR(__xludf.DUMMYFUNCTION("""COMPUTED_VALUE"""),0)</f>
        <v>0</v>
      </c>
      <c r="U137" t="str">
        <f ca="1">IFERROR(__xludf.DUMMYFUNCTION("""COMPUTED_VALUE"""),"03.10.2022 ДР")</f>
        <v>03.10.2022 ДР</v>
      </c>
      <c r="Z137" t="str">
        <f ca="1">IFERROR(__xludf.DUMMYFUNCTION("""COMPUTED_VALUE"""),"ООО ""ИНДУСТРИАЛЬНЫЕ РЕШЕНИЯ""")</f>
        <v>ООО "ИНДУСТРИАЛЬНЫЕ РЕШЕНИЯ"</v>
      </c>
      <c r="AA137" t="str">
        <f ca="1">IFERROR(__xludf.DUMMYFUNCTION("""COMPUTED_VALUE"""),"12-783")</f>
        <v>12-783</v>
      </c>
      <c r="AB137" t="str">
        <f ca="1">IFERROR(__xludf.DUMMYFUNCTION("""COMPUTED_VALUE"""),"32 Ю-ЗАП")</f>
        <v>32 Ю-ЗАП</v>
      </c>
      <c r="AC137" t="str">
        <f ca="1">IFERROR(__xludf.DUMMYFUNCTION("""COMPUTED_VALUE"""),"34000 ШЕПЕТОВКА")</f>
        <v>34000 ШЕПЕТОВКА</v>
      </c>
      <c r="AD137" t="str">
        <f ca="1">IFERROR(__xludf.DUMMYFUNCTION("""COMPUTED_VALUE"""),"07.03.21 20-20")</f>
        <v>07.03.21 20-20</v>
      </c>
      <c r="AE137" t="str">
        <f ca="1">IFERROR(__xludf.DUMMYFUNCTION("""COMPUTED_VALUE"""),"503 OБPЫВ CВAPНOГO ШВA CТOЙКИ")</f>
        <v>503 OБPЫВ CВAPНOГO ШВA CТOЙКИ</v>
      </c>
      <c r="AF137" t="str">
        <f ca="1">IFERROR(__xludf.DUMMYFUNCTION("""COMPUTED_VALUE"""),"32 Ю-ЗАП")</f>
        <v>32 Ю-ЗАП</v>
      </c>
      <c r="AG137" t="str">
        <f ca="1">IFERROR(__xludf.DUMMYFUNCTION("""COMPUTED_VALUE"""),"34000 ШЕПЕТОВКА")</f>
        <v>34000 ШЕПЕТОВКА</v>
      </c>
      <c r="AH137" t="str">
        <f ca="1">IFERROR(__xludf.DUMMYFUNCTION("""COMPUTED_VALUE"""),"13.03.21 11-00")</f>
        <v>13.03.21 11-00</v>
      </c>
      <c r="AI137" s="21">
        <f ca="1">IFERROR(__xludf.DUMMYFUNCTION("""COMPUTED_VALUE"""),44420.3576736111)</f>
        <v>44420.357673611099</v>
      </c>
    </row>
    <row r="138" spans="1:35" ht="13" x14ac:dyDescent="0.15">
      <c r="A138">
        <f ca="1">IFERROR(__xludf.DUMMYFUNCTION("""COMPUTED_VALUE"""),471)</f>
        <v>471</v>
      </c>
      <c r="B138" t="str">
        <f ca="1">IFERROR(__xludf.DUMMYFUNCTION("""COMPUTED_VALUE"""),"Трансцентр")</f>
        <v>Трансцентр</v>
      </c>
      <c r="C138" t="str">
        <f ca="1">IFERROR(__xludf.DUMMYFUNCTION("""COMPUTED_VALUE"""),"Индустриальные решения")</f>
        <v>Индустриальные решения</v>
      </c>
      <c r="D138">
        <f ca="1">IFERROR(__xludf.DUMMYFUNCTION("""COMPUTED_VALUE"""),60963477)</f>
        <v>60963477</v>
      </c>
      <c r="E138" t="str">
        <f ca="1">IFERROR(__xludf.DUMMYFUNCTION("""COMPUTED_VALUE"""),"60 ПОЛУВАГОНЫ")</f>
        <v>60 ПОЛУВАГОНЫ</v>
      </c>
      <c r="F138">
        <f ca="1">IFERROR(__xludf.DUMMYFUNCTION("""COMPUTED_VALUE"""),42103)</f>
        <v>42103</v>
      </c>
      <c r="G138" t="str">
        <f ca="1">IFERROR(__xludf.DUMMYFUNCTION("""COMPUTED_VALUE"""),"ВАГОНЫ ЖД СВ")</f>
        <v>ВАГОНЫ ЖД СВ</v>
      </c>
      <c r="H138">
        <f ca="1">IFERROR(__xludf.DUMMYFUNCTION("""COMPUTED_VALUE"""),69)</f>
        <v>69</v>
      </c>
      <c r="I138">
        <f ca="1">IFERROR(__xludf.DUMMYFUNCTION("""COMPUTED_VALUE"""),4279)</f>
        <v>4279</v>
      </c>
      <c r="J138" t="str">
        <f ca="1">IFERROR(__xludf.DUMMYFUNCTION("""COMPUTED_VALUE"""),"3501 (34000-055-34850) ШЕПЕТОВКА - УШИЦА")</f>
        <v>3501 (34000-055-34850) ШЕПЕТОВКА - УШИЦА</v>
      </c>
      <c r="K138">
        <f ca="1">IFERROR(__xludf.DUMMYFUNCTION("""COMPUTED_VALUE"""),34000)</f>
        <v>34000</v>
      </c>
      <c r="L138" t="str">
        <f ca="1">IFERROR(__xludf.DUMMYFUNCTION("""COMPUTED_VALUE"""),"ШЕПЕТОВКА")</f>
        <v>ШЕПЕТОВКА</v>
      </c>
      <c r="M138" t="str">
        <f ca="1">IFERROR(__xludf.DUMMYFUNCTION("""COMPUTED_VALUE"""),"12.08.21 01-01")</f>
        <v>12.08.21 01-01</v>
      </c>
      <c r="N138" t="str">
        <f ca="1">IFERROR(__xludf.DUMMYFUNCTION("""COMPUTED_VALUE"""),"05 ФОРМ")</f>
        <v>05 ФОРМ</v>
      </c>
      <c r="O138">
        <f ca="1">IFERROR(__xludf.DUMMYFUNCTION("""COMPUTED_VALUE"""),34780)</f>
        <v>34780</v>
      </c>
      <c r="P138" t="str">
        <f ca="1">IFERROR(__xludf.DUMMYFUNCTION("""COMPUTED_VALUE"""),"МАЙДАН-ВИЛА")</f>
        <v>МАЙДАН-ВИЛА</v>
      </c>
      <c r="Q138">
        <f ca="1">IFERROR(__xludf.DUMMYFUNCTION("""COMPUTED_VALUE"""),34780)</f>
        <v>34780</v>
      </c>
      <c r="R138" t="str">
        <f ca="1">IFERROR(__xludf.DUMMYFUNCTION("""COMPUTED_VALUE"""),"МАЙДАН-ВИЛА")</f>
        <v>МАЙДАН-ВИЛА</v>
      </c>
      <c r="S138" t="str">
        <f ca="1">IFERROR(__xludf.DUMMYFUNCTION("""COMPUTED_VALUE"""),"29.07.21 13-10")</f>
        <v>29.07.21 13-10</v>
      </c>
      <c r="T138">
        <f ca="1">IFERROR(__xludf.DUMMYFUNCTION("""COMPUTED_VALUE"""),0)</f>
        <v>0</v>
      </c>
      <c r="U138" t="str">
        <f ca="1">IFERROR(__xludf.DUMMYFUNCTION("""COMPUTED_VALUE"""),"03.10.2022 ДР")</f>
        <v>03.10.2022 ДР</v>
      </c>
      <c r="Z138" t="str">
        <f ca="1">IFERROR(__xludf.DUMMYFUNCTION("""COMPUTED_VALUE"""),"ООО ""ИНДУСТРИАЛЬНЫЕ РЕШЕНИЯ""")</f>
        <v>ООО "ИНДУСТРИАЛЬНЫЕ РЕШЕНИЯ"</v>
      </c>
      <c r="AA138" t="str">
        <f ca="1">IFERROR(__xludf.DUMMYFUNCTION("""COMPUTED_VALUE"""),"12-783")</f>
        <v>12-783</v>
      </c>
      <c r="AB138" t="str">
        <f ca="1">IFERROR(__xludf.DUMMYFUNCTION("""COMPUTED_VALUE"""),"32 Ю-ЗАП")</f>
        <v>32 Ю-ЗАП</v>
      </c>
      <c r="AC138" t="str">
        <f ca="1">IFERROR(__xludf.DUMMYFUNCTION("""COMPUTED_VALUE"""),"34000 ШЕПЕТОВКА")</f>
        <v>34000 ШЕПЕТОВКА</v>
      </c>
      <c r="AD138" t="str">
        <f ca="1">IFERROR(__xludf.DUMMYFUNCTION("""COMPUTED_VALUE"""),"07.03.21 20-20")</f>
        <v>07.03.21 20-20</v>
      </c>
      <c r="AE138" t="str">
        <f ca="1">IFERROR(__xludf.DUMMYFUNCTION("""COMPUTED_VALUE"""),"503 OБPЫВ CВAPНOГO ШВA CТOЙКИ")</f>
        <v>503 OБPЫВ CВAPНOГO ШВA CТOЙКИ</v>
      </c>
      <c r="AF138" t="str">
        <f ca="1">IFERROR(__xludf.DUMMYFUNCTION("""COMPUTED_VALUE"""),"32 Ю-ЗАП")</f>
        <v>32 Ю-ЗАП</v>
      </c>
      <c r="AG138" t="str">
        <f ca="1">IFERROR(__xludf.DUMMYFUNCTION("""COMPUTED_VALUE"""),"34000 ШЕПЕТОВКА")</f>
        <v>34000 ШЕПЕТОВКА</v>
      </c>
      <c r="AH138" t="str">
        <f ca="1">IFERROR(__xludf.DUMMYFUNCTION("""COMPUTED_VALUE"""),"13.03.21 11-00")</f>
        <v>13.03.21 11-00</v>
      </c>
      <c r="AI138" s="21">
        <f ca="1">IFERROR(__xludf.DUMMYFUNCTION("""COMPUTED_VALUE"""),44420.3576736111)</f>
        <v>44420.357673611099</v>
      </c>
    </row>
    <row r="139" spans="1:35" ht="13" x14ac:dyDescent="0.15">
      <c r="A139">
        <f ca="1">IFERROR(__xludf.DUMMYFUNCTION("""COMPUTED_VALUE"""),474)</f>
        <v>474</v>
      </c>
      <c r="B139" t="str">
        <f ca="1">IFERROR(__xludf.DUMMYFUNCTION("""COMPUTED_VALUE"""),"Техрейс")</f>
        <v>Техрейс</v>
      </c>
      <c r="C139" t="str">
        <f ca="1">IFERROR(__xludf.DUMMYFUNCTION("""COMPUTED_VALUE"""),"Промкомплект")</f>
        <v>Промкомплект</v>
      </c>
      <c r="D139">
        <f ca="1">IFERROR(__xludf.DUMMYFUNCTION("""COMPUTED_VALUE"""),61908927)</f>
        <v>61908927</v>
      </c>
      <c r="E139" t="str">
        <f ca="1">IFERROR(__xludf.DUMMYFUNCTION("""COMPUTED_VALUE"""),"60 ПОЛУВАГОНЫ")</f>
        <v>60 ПОЛУВАГОНЫ</v>
      </c>
      <c r="F139">
        <f ca="1">IFERROR(__xludf.DUMMYFUNCTION("""COMPUTED_VALUE"""),48326)</f>
        <v>48326</v>
      </c>
      <c r="G139" t="str">
        <f ca="1">IFERROR(__xludf.DUMMYFUNCTION("""COMPUTED_VALUE"""),"ЖЕЛЕЗА СУЛЬФАТ")</f>
        <v>ЖЕЛЕЗА СУЛЬФАТ</v>
      </c>
      <c r="H139">
        <f ca="1">IFERROR(__xludf.DUMMYFUNCTION("""COMPUTED_VALUE"""),51)</f>
        <v>51</v>
      </c>
      <c r="I139">
        <f ca="1">IFERROR(__xludf.DUMMYFUNCTION("""COMPUTED_VALUE"""),4306)</f>
        <v>4306</v>
      </c>
      <c r="J139" t="str">
        <f ca="1">IFERROR(__xludf.DUMMYFUNCTION("""COMPUTED_VALUE"""),"5555 (44870-203-00010) ПОЛТАВА-ЮЖН -")</f>
        <v>5555 (44870-203-00010) ПОЛТАВА-ЮЖН -</v>
      </c>
      <c r="K139">
        <f ca="1">IFERROR(__xludf.DUMMYFUNCTION("""COMPUTED_VALUE"""),44870)</f>
        <v>44870</v>
      </c>
      <c r="L139" t="str">
        <f ca="1">IFERROR(__xludf.DUMMYFUNCTION("""COMPUTED_VALUE"""),"ПОЛТАВА-ЮЖН")</f>
        <v>ПОЛТАВА-ЮЖН</v>
      </c>
      <c r="M139" t="str">
        <f ca="1">IFERROR(__xludf.DUMMYFUNCTION("""COMPUTED_VALUE"""),"12.08.21 04-25")</f>
        <v>12.08.21 04-25</v>
      </c>
      <c r="N139" t="str">
        <f ca="1">IFERROR(__xludf.DUMMYFUNCTION("""COMPUTED_VALUE"""),"04 РАСФ")</f>
        <v>04 РАСФ</v>
      </c>
      <c r="O139">
        <f ca="1">IFERROR(__xludf.DUMMYFUNCTION("""COMPUTED_VALUE"""),40510)</f>
        <v>40510</v>
      </c>
      <c r="P139" t="str">
        <f ca="1">IFERROR(__xludf.DUMMYFUNCTION("""COMPUTED_VALUE"""),"ОДЕССА-ЗАС I")</f>
        <v>ОДЕССА-ЗАС I</v>
      </c>
      <c r="Q139">
        <f ca="1">IFERROR(__xludf.DUMMYFUNCTION("""COMPUTED_VALUE"""),44560)</f>
        <v>44560</v>
      </c>
      <c r="R139" t="str">
        <f ca="1">IFERROR(__xludf.DUMMYFUNCTION("""COMPUTED_VALUE"""),"БАСЫ")</f>
        <v>БАСЫ</v>
      </c>
      <c r="S139" t="str">
        <f ca="1">IFERROR(__xludf.DUMMYFUNCTION("""COMPUTED_VALUE"""),"10.08.21 12-30")</f>
        <v>10.08.21 12-30</v>
      </c>
      <c r="T139">
        <f ca="1">IFERROR(__xludf.DUMMYFUNCTION("""COMPUTED_VALUE"""),1673)</f>
        <v>1673</v>
      </c>
      <c r="U139" t="str">
        <f ca="1">IFERROR(__xludf.DUMMYFUNCTION("""COMPUTED_VALUE"""),"26.04.2023 КР")</f>
        <v>26.04.2023 КР</v>
      </c>
      <c r="Z139" t="str">
        <f ca="1">IFERROR(__xludf.DUMMYFUNCTION("""COMPUTED_VALUE"""),"ООО ""НПКП ""ПРОМКОМПЛЕКТ""")</f>
        <v>ООО "НПКП "ПРОМКОМПЛЕКТ"</v>
      </c>
      <c r="AA139" t="str">
        <f ca="1">IFERROR(__xludf.DUMMYFUNCTION("""COMPUTED_VALUE"""),"12-9745")</f>
        <v>12-9745</v>
      </c>
      <c r="AB139" t="str">
        <f ca="1">IFERROR(__xludf.DUMMYFUNCTION("""COMPUTED_VALUE"""),"32 Ю-ЗАП")</f>
        <v>32 Ю-ЗАП</v>
      </c>
      <c r="AC139" t="str">
        <f ca="1">IFERROR(__xludf.DUMMYFUNCTION("""COMPUTED_VALUE"""),"33000 ЖМЕРИНКА")</f>
        <v>33000 ЖМЕРИНКА</v>
      </c>
      <c r="AD139" t="str">
        <f ca="1">IFERROR(__xludf.DUMMYFUNCTION("""COMPUTED_VALUE"""),"24.04.20 14-43")</f>
        <v>24.04.20 14-43</v>
      </c>
      <c r="AE139" t="str">
        <f ca="1">IFERROR(__xludf.DUMMYFUNCTION("""COMPUTED_VALUE"""),"570 ИCТEК КAЛЕНДАРНЫЙ CPOК ДEПOВCКОГО PEМOНТA")</f>
        <v>570 ИCТEК КAЛЕНДАРНЫЙ CPOК ДEПOВCКОГО PEМOНТA</v>
      </c>
      <c r="AF139" t="str">
        <f ca="1">IFERROR(__xludf.DUMMYFUNCTION("""COMPUTED_VALUE"""),"32 Ю-ЗАП")</f>
        <v>32 Ю-ЗАП</v>
      </c>
      <c r="AG139" t="str">
        <f ca="1">IFERROR(__xludf.DUMMYFUNCTION("""COMPUTED_VALUE"""),"33000 ЖМЕРИНКА")</f>
        <v>33000 ЖМЕРИНКА</v>
      </c>
      <c r="AH139" t="str">
        <f ca="1">IFERROR(__xludf.DUMMYFUNCTION("""COMPUTED_VALUE"""),"26.04.20 10-42")</f>
        <v>26.04.20 10-42</v>
      </c>
      <c r="AI139" s="21">
        <f ca="1">IFERROR(__xludf.DUMMYFUNCTION("""COMPUTED_VALUE"""),44420.3576736111)</f>
        <v>44420.357673611099</v>
      </c>
    </row>
    <row r="140" spans="1:35" ht="13" x14ac:dyDescent="0.15">
      <c r="A140">
        <f ca="1">IFERROR(__xludf.DUMMYFUNCTION("""COMPUTED_VALUE"""),486)</f>
        <v>486</v>
      </c>
      <c r="B140" t="str">
        <f ca="1">IFERROR(__xludf.DUMMYFUNCTION("""COMPUTED_VALUE"""),"Техрейс")</f>
        <v>Техрейс</v>
      </c>
      <c r="C140" t="str">
        <f ca="1">IFERROR(__xludf.DUMMYFUNCTION("""COMPUTED_VALUE"""),"Аурум Транс")</f>
        <v>Аурум Транс</v>
      </c>
      <c r="D140">
        <f ca="1">IFERROR(__xludf.DUMMYFUNCTION("""COMPUTED_VALUE"""),61398186)</f>
        <v>61398186</v>
      </c>
      <c r="E140" t="str">
        <f ca="1">IFERROR(__xludf.DUMMYFUNCTION("""COMPUTED_VALUE"""),"60 ПОЛУВАГОНЫ")</f>
        <v>60 ПОЛУВАГОНЫ</v>
      </c>
      <c r="F140">
        <f ca="1">IFERROR(__xludf.DUMMYFUNCTION("""COMPUTED_VALUE"""),42103)</f>
        <v>42103</v>
      </c>
      <c r="G140" t="str">
        <f ca="1">IFERROR(__xludf.DUMMYFUNCTION("""COMPUTED_VALUE"""),"ВАГОНЫ ЖД СВ")</f>
        <v>ВАГОНЫ ЖД СВ</v>
      </c>
      <c r="H140">
        <f ca="1">IFERROR(__xludf.DUMMYFUNCTION("""COMPUTED_VALUE"""),70)</f>
        <v>70</v>
      </c>
      <c r="I140">
        <f ca="1">IFERROR(__xludf.DUMMYFUNCTION("""COMPUTED_VALUE"""),2931)</f>
        <v>2931</v>
      </c>
      <c r="J140" t="str">
        <f ca="1">IFERROR(__xludf.DUMMYFUNCTION("""COMPUTED_VALUE"""),"3202 (35130-011-35400) ЯГОДИН - КОВЕЛЬ")</f>
        <v>3202 (35130-011-35400) ЯГОДИН - КОВЕЛЬ</v>
      </c>
      <c r="K140">
        <f ca="1">IFERROR(__xludf.DUMMYFUNCTION("""COMPUTED_VALUE"""),35400)</f>
        <v>35400</v>
      </c>
      <c r="L140" t="str">
        <f ca="1">IFERROR(__xludf.DUMMYFUNCTION("""COMPUTED_VALUE"""),"КОВЕЛЬ")</f>
        <v>КОВЕЛЬ</v>
      </c>
      <c r="M140" t="str">
        <f ca="1">IFERROR(__xludf.DUMMYFUNCTION("""COMPUTED_VALUE"""),"12.08.21 06-21")</f>
        <v>12.08.21 06-21</v>
      </c>
      <c r="N140" t="str">
        <f ca="1">IFERROR(__xludf.DUMMYFUNCTION("""COMPUTED_VALUE"""),"72 ОТЦ")</f>
        <v>72 ОТЦ</v>
      </c>
      <c r="O140">
        <f ca="1">IFERROR(__xludf.DUMMYFUNCTION("""COMPUTED_VALUE"""),35670)</f>
        <v>35670</v>
      </c>
      <c r="P140" t="str">
        <f ca="1">IFERROR(__xludf.DUMMYFUNCTION("""COMPUTED_VALUE"""),"ЛЮБОМИРСК")</f>
        <v>ЛЮБОМИРСК</v>
      </c>
      <c r="Q140">
        <f ca="1">IFERROR(__xludf.DUMMYFUNCTION("""COMPUTED_VALUE"""),49480)</f>
        <v>49480</v>
      </c>
      <c r="R140" t="str">
        <f ca="1">IFERROR(__xludf.DUMMYFUNCTION("""COMPUTED_VALUE"""),"СОЛЬ")</f>
        <v>СОЛЬ</v>
      </c>
      <c r="S140" t="str">
        <f ca="1">IFERROR(__xludf.DUMMYFUNCTION("""COMPUTED_VALUE"""),"03.08.21 16-30")</f>
        <v>03.08.21 16-30</v>
      </c>
      <c r="T140">
        <f ca="1">IFERROR(__xludf.DUMMYFUNCTION("""COMPUTED_VALUE"""),0)</f>
        <v>0</v>
      </c>
      <c r="U140" t="str">
        <f ca="1">IFERROR(__xludf.DUMMYFUNCTION("""COMPUTED_VALUE"""),"16.07.2023 ДР")</f>
        <v>16.07.2023 ДР</v>
      </c>
      <c r="Z140" t="str">
        <f ca="1">IFERROR(__xludf.DUMMYFUNCTION("""COMPUTED_VALUE"""),"ООО «АУРУМ ТРАНС»")</f>
        <v>ООО «АУРУМ ТРАНС»</v>
      </c>
      <c r="AA140" t="str">
        <f ca="1">IFERROR(__xludf.DUMMYFUNCTION("""COMPUTED_VALUE"""),"12-9790")</f>
        <v>12-9790</v>
      </c>
      <c r="AB140" t="str">
        <f ca="1">IFERROR(__xludf.DUMMYFUNCTION("""COMPUTED_VALUE"""),"45 ПРИДН")</f>
        <v>45 ПРИДН</v>
      </c>
      <c r="AC140" t="str">
        <f ca="1">IFERROR(__xludf.DUMMYFUNCTION("""COMPUTED_VALUE"""),"46710 КРИВ.РОГ-СОР")</f>
        <v>46710 КРИВ.РОГ-СОР</v>
      </c>
      <c r="AD140" t="str">
        <f ca="1">IFERROR(__xludf.DUMMYFUNCTION("""COMPUTED_VALUE"""),"08.06.21 12-30")</f>
        <v>08.06.21 12-30</v>
      </c>
      <c r="AE140" t="str">
        <f ca="1">IFERROR(__xludf.DUMMYFUNCTION("""COMPUTED_VALUE"""),"570 ИCТEК КAЛЕНДАРНЫЙ CPOК ДEПOВCКОГО PEМOНТA")</f>
        <v>570 ИCТEК КAЛЕНДАРНЫЙ CPOК ДEПOВCКОГО PEМOНТA</v>
      </c>
      <c r="AF140" t="str">
        <f ca="1">IFERROR(__xludf.DUMMYFUNCTION("""COMPUTED_VALUE"""),"45 ПРИДН")</f>
        <v>45 ПРИДН</v>
      </c>
      <c r="AG140" t="str">
        <f ca="1">IFERROR(__xludf.DUMMYFUNCTION("""COMPUTED_VALUE"""),"46710 КРИВ.РОГ-СОР")</f>
        <v>46710 КРИВ.РОГ-СОР</v>
      </c>
      <c r="AH140" t="str">
        <f ca="1">IFERROR(__xludf.DUMMYFUNCTION("""COMPUTED_VALUE"""),"16.07.21 14-03")</f>
        <v>16.07.21 14-03</v>
      </c>
      <c r="AI140" s="21">
        <f ca="1">IFERROR(__xludf.DUMMYFUNCTION("""COMPUTED_VALUE"""),44420.3576736111)</f>
        <v>44420.357673611099</v>
      </c>
    </row>
    <row r="141" spans="1:35" ht="13" x14ac:dyDescent="0.15">
      <c r="A141">
        <f ca="1">IFERROR(__xludf.DUMMYFUNCTION("""COMPUTED_VALUE"""),488)</f>
        <v>488</v>
      </c>
      <c r="B141" t="str">
        <f ca="1">IFERROR(__xludf.DUMMYFUNCTION("""COMPUTED_VALUE"""),"Техрейс")</f>
        <v>Техрейс</v>
      </c>
      <c r="C141" t="str">
        <f ca="1">IFERROR(__xludf.DUMMYFUNCTION("""COMPUTED_VALUE"""),"Аурум Транс")</f>
        <v>Аурум Транс</v>
      </c>
      <c r="D141">
        <f ca="1">IFERROR(__xludf.DUMMYFUNCTION("""COMPUTED_VALUE"""),62078522)</f>
        <v>62078522</v>
      </c>
      <c r="E141" t="str">
        <f ca="1">IFERROR(__xludf.DUMMYFUNCTION("""COMPUTED_VALUE"""),"60 ПОЛУВАГОНЫ")</f>
        <v>60 ПОЛУВАГОНЫ</v>
      </c>
      <c r="F141">
        <f ca="1">IFERROR(__xludf.DUMMYFUNCTION("""COMPUTED_VALUE"""),42103)</f>
        <v>42103</v>
      </c>
      <c r="G141" t="str">
        <f ca="1">IFERROR(__xludf.DUMMYFUNCTION("""COMPUTED_VALUE"""),"ВАГОНЫ ЖД СВ")</f>
        <v>ВАГОНЫ ЖД СВ</v>
      </c>
      <c r="H141">
        <f ca="1">IFERROR(__xludf.DUMMYFUNCTION("""COMPUTED_VALUE"""),0)</f>
        <v>0</v>
      </c>
      <c r="I141">
        <f ca="1">IFERROR(__xludf.DUMMYFUNCTION("""COMPUTED_VALUE"""),2123)</f>
        <v>2123</v>
      </c>
      <c r="J141" t="str">
        <f ca="1">IFERROR(__xludf.DUMMYFUNCTION("""COMPUTED_VALUE"""),"3702 (32010-020-32000) КИЕВ-ДЕМЕЕВС - ДАРНИЦА")</f>
        <v>3702 (32010-020-32000) КИЕВ-ДЕМЕЕВС - ДАРНИЦА</v>
      </c>
      <c r="K141">
        <f ca="1">IFERROR(__xludf.DUMMYFUNCTION("""COMPUTED_VALUE"""),32000)</f>
        <v>32000</v>
      </c>
      <c r="L141" t="str">
        <f ca="1">IFERROR(__xludf.DUMMYFUNCTION("""COMPUTED_VALUE"""),"ДАРНИЦА")</f>
        <v>ДАРНИЦА</v>
      </c>
      <c r="M141" t="str">
        <f ca="1">IFERROR(__xludf.DUMMYFUNCTION("""COMPUTED_VALUE"""),"11.08.21 22-12")</f>
        <v>11.08.21 22-12</v>
      </c>
      <c r="N141" t="str">
        <f ca="1">IFERROR(__xludf.DUMMYFUNCTION("""COMPUTED_VALUE"""),"04 РАСФ")</f>
        <v>04 РАСФ</v>
      </c>
      <c r="O141">
        <f ca="1">IFERROR(__xludf.DUMMYFUNCTION("""COMPUTED_VALUE"""),32090)</f>
        <v>32090</v>
      </c>
      <c r="P141" t="str">
        <f ca="1">IFERROR(__xludf.DUMMYFUNCTION("""COMPUTED_VALUE"""),"НОВЫЕ БЕЗР")</f>
        <v>НОВЫЕ БЕЗР</v>
      </c>
      <c r="Q141">
        <f ca="1">IFERROR(__xludf.DUMMYFUNCTION("""COMPUTED_VALUE"""),32010)</f>
        <v>32010</v>
      </c>
      <c r="R141" t="str">
        <f ca="1">IFERROR(__xludf.DUMMYFUNCTION("""COMPUTED_VALUE"""),"КИЕВ-ДЕМЕЕВС")</f>
        <v>КИЕВ-ДЕМЕЕВС</v>
      </c>
      <c r="S141" t="str">
        <f ca="1">IFERROR(__xludf.DUMMYFUNCTION("""COMPUTED_VALUE"""),"08.08.21 08-40")</f>
        <v>08.08.21 08-40</v>
      </c>
      <c r="T141">
        <f ca="1">IFERROR(__xludf.DUMMYFUNCTION("""COMPUTED_VALUE"""),8200)</f>
        <v>8200</v>
      </c>
      <c r="U141" t="str">
        <f ca="1">IFERROR(__xludf.DUMMYFUNCTION("""COMPUTED_VALUE"""),"23.09.2023 ДР")</f>
        <v>23.09.2023 ДР</v>
      </c>
      <c r="Z141" t="str">
        <f ca="1">IFERROR(__xludf.DUMMYFUNCTION("""COMPUTED_VALUE"""),"ООО «АУРУМ ТРАНС»")</f>
        <v>ООО «АУРУМ ТРАНС»</v>
      </c>
      <c r="AA141" t="str">
        <f ca="1">IFERROR(__xludf.DUMMYFUNCTION("""COMPUTED_VALUE"""),"12-9790")</f>
        <v>12-9790</v>
      </c>
      <c r="AB141" t="str">
        <f ca="1">IFERROR(__xludf.DUMMYFUNCTION("""COMPUTED_VALUE"""),"48 ДОН")</f>
        <v>48 ДОН</v>
      </c>
      <c r="AC141" t="str">
        <f ca="1">IFERROR(__xludf.DUMMYFUNCTION("""COMPUTED_VALUE"""),"49870 РУБЕЖНОЕ")</f>
        <v>49870 РУБЕЖНОЕ</v>
      </c>
      <c r="AD141" t="str">
        <f ca="1">IFERROR(__xludf.DUMMYFUNCTION("""COMPUTED_VALUE"""),"15.09.20 14-15")</f>
        <v>15.09.20 14-15</v>
      </c>
      <c r="AE141" t="str">
        <f ca="1">IFERROR(__xludf.DUMMYFUNCTION("""COMPUTED_VALUE"""),"570 ИCТEК КAЛЕНДАРНЫЙ CPOК ДEПOВCКОГО PEМOНТA")</f>
        <v>570 ИCТEК КAЛЕНДАРНЫЙ CPOК ДEПOВCКОГО PEМOНТA</v>
      </c>
      <c r="AF141" t="str">
        <f ca="1">IFERROR(__xludf.DUMMYFUNCTION("""COMPUTED_VALUE"""),"48 ДОН")</f>
        <v>48 ДОН</v>
      </c>
      <c r="AG141" t="str">
        <f ca="1">IFERROR(__xludf.DUMMYFUNCTION("""COMPUTED_VALUE"""),"49870 РУБЕЖНОЕ")</f>
        <v>49870 РУБЕЖНОЕ</v>
      </c>
      <c r="AH141" t="str">
        <f ca="1">IFERROR(__xludf.DUMMYFUNCTION("""COMPUTED_VALUE"""),"23.09.20 10-17")</f>
        <v>23.09.20 10-17</v>
      </c>
      <c r="AI141" s="21">
        <f ca="1">IFERROR(__xludf.DUMMYFUNCTION("""COMPUTED_VALUE"""),44420.3576736111)</f>
        <v>44420.357673611099</v>
      </c>
    </row>
    <row r="142" spans="1:35" ht="13" x14ac:dyDescent="0.15">
      <c r="A142">
        <f ca="1">IFERROR(__xludf.DUMMYFUNCTION("""COMPUTED_VALUE"""),490)</f>
        <v>490</v>
      </c>
      <c r="B142" t="str">
        <f ca="1">IFERROR(__xludf.DUMMYFUNCTION("""COMPUTED_VALUE"""),"Техрейс")</f>
        <v>Техрейс</v>
      </c>
      <c r="C142" t="str">
        <f ca="1">IFERROR(__xludf.DUMMYFUNCTION("""COMPUTED_VALUE"""),"Аурум Транс")</f>
        <v>Аурум Транс</v>
      </c>
      <c r="D142">
        <f ca="1">IFERROR(__xludf.DUMMYFUNCTION("""COMPUTED_VALUE"""),61397816)</f>
        <v>61397816</v>
      </c>
      <c r="E142" t="str">
        <f ca="1">IFERROR(__xludf.DUMMYFUNCTION("""COMPUTED_VALUE"""),"60 ПОЛУВАГОНЫ")</f>
        <v>60 ПОЛУВАГОНЫ</v>
      </c>
      <c r="F142">
        <f ca="1">IFERROR(__xludf.DUMMYFUNCTION("""COMPUTED_VALUE"""),42103)</f>
        <v>42103</v>
      </c>
      <c r="G142" t="str">
        <f ca="1">IFERROR(__xludf.DUMMYFUNCTION("""COMPUTED_VALUE"""),"ВАГОНЫ ЖД СВ")</f>
        <v>ВАГОНЫ ЖД СВ</v>
      </c>
      <c r="H142">
        <f ca="1">IFERROR(__xludf.DUMMYFUNCTION("""COMPUTED_VALUE"""),0)</f>
        <v>0</v>
      </c>
      <c r="I142">
        <f ca="1">IFERROR(__xludf.DUMMYFUNCTION("""COMPUTED_VALUE"""),4305)</f>
        <v>4305</v>
      </c>
      <c r="J142" t="str">
        <f ca="1">IFERROR(__xludf.DUMMYFUNCTION("""COMPUTED_VALUE"""),"4831 (41000-315-41130) ЗНАМЕНКА - КАНАТОВО")</f>
        <v>4831 (41000-315-41130) ЗНАМЕНКА - КАНАТОВО</v>
      </c>
      <c r="K142">
        <f ca="1">IFERROR(__xludf.DUMMYFUNCTION("""COMPUTED_VALUE"""),41130)</f>
        <v>41130</v>
      </c>
      <c r="L142" t="str">
        <f ca="1">IFERROR(__xludf.DUMMYFUNCTION("""COMPUTED_VALUE"""),"КАНАТОВО")</f>
        <v>КАНАТОВО</v>
      </c>
      <c r="M142" t="str">
        <f ca="1">IFERROR(__xludf.DUMMYFUNCTION("""COMPUTED_VALUE"""),"10.08.21 23-35")</f>
        <v>10.08.21 23-35</v>
      </c>
      <c r="N142" t="str">
        <f ca="1">IFERROR(__xludf.DUMMYFUNCTION("""COMPUTED_VALUE"""),"86 ОДПВ")</f>
        <v>86 ОДПВ</v>
      </c>
      <c r="O142">
        <f ca="1">IFERROR(__xludf.DUMMYFUNCTION("""COMPUTED_VALUE"""),42500)</f>
        <v>42500</v>
      </c>
      <c r="P142" t="str">
        <f ca="1">IFERROR(__xludf.DUMMYFUNCTION("""COMPUTED_VALUE"""),"КРЕМЕНЧУГ")</f>
        <v>КРЕМЕНЧУГ</v>
      </c>
      <c r="Q142">
        <f ca="1">IFERROR(__xludf.DUMMYFUNCTION("""COMPUTED_VALUE"""),41130)</f>
        <v>41130</v>
      </c>
      <c r="R142" t="str">
        <f ca="1">IFERROR(__xludf.DUMMYFUNCTION("""COMPUTED_VALUE"""),"КАНАТОВО")</f>
        <v>КАНАТОВО</v>
      </c>
      <c r="S142" t="str">
        <f ca="1">IFERROR(__xludf.DUMMYFUNCTION("""COMPUTED_VALUE"""),"10.08.21 23-35")</f>
        <v>10.08.21 23-35</v>
      </c>
      <c r="T142">
        <f ca="1">IFERROR(__xludf.DUMMYFUNCTION("""COMPUTED_VALUE"""),8200)</f>
        <v>8200</v>
      </c>
      <c r="U142" t="str">
        <f ca="1">IFERROR(__xludf.DUMMYFUNCTION("""COMPUTED_VALUE"""),"29.08.2021 ДР")</f>
        <v>29.08.2021 ДР</v>
      </c>
      <c r="Z142" t="str">
        <f ca="1">IFERROR(__xludf.DUMMYFUNCTION("""COMPUTED_VALUE"""),"ООО «АУРУМ ТРАНС»")</f>
        <v>ООО «АУРУМ ТРАНС»</v>
      </c>
      <c r="AA142" t="str">
        <f ca="1">IFERROR(__xludf.DUMMYFUNCTION("""COMPUTED_VALUE"""),"12-9790")</f>
        <v>12-9790</v>
      </c>
      <c r="AB142" t="str">
        <f ca="1">IFERROR(__xludf.DUMMYFUNCTION("""COMPUTED_VALUE"""),"45 ПРИДН")</f>
        <v>45 ПРИДН</v>
      </c>
      <c r="AC142" t="str">
        <f ca="1">IFERROR(__xludf.DUMMYFUNCTION("""COMPUTED_VALUE"""),"46710 КРИВ.РОГ-СОР")</f>
        <v>46710 КРИВ.РОГ-СОР</v>
      </c>
      <c r="AD142" t="str">
        <f ca="1">IFERROR(__xludf.DUMMYFUNCTION("""COMPUTED_VALUE"""),"12.02.20 08-36")</f>
        <v>12.02.20 08-36</v>
      </c>
      <c r="AE142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42" t="str">
        <f ca="1">IFERROR(__xludf.DUMMYFUNCTION("""COMPUTED_VALUE"""),"45 ПРИДН")</f>
        <v>45 ПРИДН</v>
      </c>
      <c r="AG142" t="str">
        <f ca="1">IFERROR(__xludf.DUMMYFUNCTION("""COMPUTED_VALUE"""),"46710 КРИВ.РОГ-СОР")</f>
        <v>46710 КРИВ.РОГ-СОР</v>
      </c>
      <c r="AH142" t="str">
        <f ca="1">IFERROR(__xludf.DUMMYFUNCTION("""COMPUTED_VALUE"""),"19.02.20 14-50")</f>
        <v>19.02.20 14-50</v>
      </c>
      <c r="AI142" s="21">
        <f ca="1">IFERROR(__xludf.DUMMYFUNCTION("""COMPUTED_VALUE"""),44420.3576736111)</f>
        <v>44420.357673611099</v>
      </c>
    </row>
    <row r="143" spans="1:35" ht="13" x14ac:dyDescent="0.15">
      <c r="A143">
        <f ca="1">IFERROR(__xludf.DUMMYFUNCTION("""COMPUTED_VALUE"""),493)</f>
        <v>493</v>
      </c>
      <c r="B143" t="str">
        <f ca="1">IFERROR(__xludf.DUMMYFUNCTION("""COMPUTED_VALUE"""),"Техрейс")</f>
        <v>Техрейс</v>
      </c>
      <c r="C143" t="str">
        <f ca="1">IFERROR(__xludf.DUMMYFUNCTION("""COMPUTED_VALUE"""),"Аурум Транс")</f>
        <v>Аурум Транс</v>
      </c>
      <c r="D143">
        <f ca="1">IFERROR(__xludf.DUMMYFUNCTION("""COMPUTED_VALUE"""),61492682)</f>
        <v>61492682</v>
      </c>
      <c r="E143" t="str">
        <f ca="1">IFERROR(__xludf.DUMMYFUNCTION("""COMPUTED_VALUE"""),"60 ПОЛУВАГОНЫ")</f>
        <v>60 ПОЛУВАГОНЫ</v>
      </c>
      <c r="F143">
        <f ca="1">IFERROR(__xludf.DUMMYFUNCTION("""COMPUTED_VALUE"""),23225)</f>
        <v>23225</v>
      </c>
      <c r="G143" t="str">
        <f ca="1">IFERROR(__xludf.DUMMYFUNCTION("""COMPUTED_VALUE"""),"ОТСЕВ ГРАН КАМ")</f>
        <v>ОТСЕВ ГРАН КАМ</v>
      </c>
      <c r="H143">
        <f ca="1">IFERROR(__xludf.DUMMYFUNCTION("""COMPUTED_VALUE"""),70)</f>
        <v>70</v>
      </c>
      <c r="I143">
        <f ca="1">IFERROR(__xludf.DUMMYFUNCTION("""COMPUTED_VALUE"""),5155)</f>
        <v>5155</v>
      </c>
      <c r="J143" t="str">
        <f ca="1">IFERROR(__xludf.DUMMYFUNCTION("""COMPUTED_VALUE"""),"2812 (41000-477-45640) ЗНАМЕНКА - ВЕРХОВЦЕВО")</f>
        <v>2812 (41000-477-45640) ЗНАМЕНКА - ВЕРХОВЦЕВО</v>
      </c>
      <c r="K143">
        <f ca="1">IFERROR(__xludf.DUMMYFUNCTION("""COMPUTED_VALUE"""),45640)</f>
        <v>45640</v>
      </c>
      <c r="L143" t="str">
        <f ca="1">IFERROR(__xludf.DUMMYFUNCTION("""COMPUTED_VALUE"""),"ВЕРХОВЦЕВО")</f>
        <v>ВЕРХОВЦЕВО</v>
      </c>
      <c r="M143" t="str">
        <f ca="1">IFERROR(__xludf.DUMMYFUNCTION("""COMPUTED_VALUE"""),"11.08.21 14-40")</f>
        <v>11.08.21 14-40</v>
      </c>
      <c r="N143" t="str">
        <f ca="1">IFERROR(__xludf.DUMMYFUNCTION("""COMPUTED_VALUE"""),"04 РАСФ")</f>
        <v>04 РАСФ</v>
      </c>
      <c r="O143">
        <f ca="1">IFERROR(__xludf.DUMMYFUNCTION("""COMPUTED_VALUE"""),45630)</f>
        <v>45630</v>
      </c>
      <c r="P143" t="str">
        <f ca="1">IFERROR(__xludf.DUMMYFUNCTION("""COMPUTED_VALUE"""),"ВЕРХНЕДНЕПР")</f>
        <v>ВЕРХНЕДНЕПР</v>
      </c>
      <c r="Q143">
        <f ca="1">IFERROR(__xludf.DUMMYFUNCTION("""COMPUTED_VALUE"""),36800)</f>
        <v>36800</v>
      </c>
      <c r="R143" t="str">
        <f ca="1">IFERROR(__xludf.DUMMYFUNCTION("""COMPUTED_VALUE"""),"СОКИРЯНЫ")</f>
        <v>СОКИРЯНЫ</v>
      </c>
      <c r="S143" t="str">
        <f ca="1">IFERROR(__xludf.DUMMYFUNCTION("""COMPUTED_VALUE"""),"02.08.21 19-00")</f>
        <v>02.08.21 19-00</v>
      </c>
      <c r="T143">
        <f ca="1">IFERROR(__xludf.DUMMYFUNCTION("""COMPUTED_VALUE"""),9259)</f>
        <v>9259</v>
      </c>
      <c r="U143" t="str">
        <f ca="1">IFERROR(__xludf.DUMMYFUNCTION("""COMPUTED_VALUE"""),"06.01.2024 ДР")</f>
        <v>06.01.2024 ДР</v>
      </c>
      <c r="Z143" t="str">
        <f ca="1">IFERROR(__xludf.DUMMYFUNCTION("""COMPUTED_VALUE"""),"ООО «АУРУМ ТРАНС»")</f>
        <v>ООО «АУРУМ ТРАНС»</v>
      </c>
      <c r="AA143" t="str">
        <f ca="1">IFERROR(__xludf.DUMMYFUNCTION("""COMPUTED_VALUE"""),"12-9790")</f>
        <v>12-9790</v>
      </c>
      <c r="AB143" t="str">
        <f ca="1">IFERROR(__xludf.DUMMYFUNCTION("""COMPUTED_VALUE"""),"45 ПРИДН")</f>
        <v>45 ПРИДН</v>
      </c>
      <c r="AC143" t="str">
        <f ca="1">IFERROR(__xludf.DUMMYFUNCTION("""COMPUTED_VALUE"""),"45640 ВЕРХОВЦЕВО")</f>
        <v>45640 ВЕРХОВЦЕВО</v>
      </c>
      <c r="AD143" t="str">
        <f ca="1">IFERROR(__xludf.DUMMYFUNCTION("""COMPUTED_VALUE"""),"20.12.20 12-35")</f>
        <v>20.12.20 12-35</v>
      </c>
      <c r="AE143" t="str">
        <f ca="1">IFERROR(__xludf.DUMMYFUNCTION("""COMPUTED_VALUE"""),"570 ИCТEК КAЛЕНДАРНЫЙ CPOК ДEПOВCКОГО PEМOНТA")</f>
        <v>570 ИCТEК КAЛЕНДАРНЫЙ CPOК ДEПOВCКОГО PEМOНТA</v>
      </c>
      <c r="AF143" t="str">
        <f ca="1">IFERROR(__xludf.DUMMYFUNCTION("""COMPUTED_VALUE"""),"45 ПРИДН")</f>
        <v>45 ПРИДН</v>
      </c>
      <c r="AG143" t="str">
        <f ca="1">IFERROR(__xludf.DUMMYFUNCTION("""COMPUTED_VALUE"""),"45640 ВЕРХОВЦЕВО")</f>
        <v>45640 ВЕРХОВЦЕВО</v>
      </c>
      <c r="AH143" t="str">
        <f ca="1">IFERROR(__xludf.DUMMYFUNCTION("""COMPUTED_VALUE"""),"06.01.21 14-20")</f>
        <v>06.01.21 14-20</v>
      </c>
      <c r="AI143" s="21">
        <f ca="1">IFERROR(__xludf.DUMMYFUNCTION("""COMPUTED_VALUE"""),44420.3576736111)</f>
        <v>44420.357673611099</v>
      </c>
    </row>
    <row r="144" spans="1:35" ht="13" x14ac:dyDescent="0.15">
      <c r="A144">
        <f ca="1">IFERROR(__xludf.DUMMYFUNCTION("""COMPUTED_VALUE"""),494)</f>
        <v>494</v>
      </c>
      <c r="B144" t="str">
        <f ca="1">IFERROR(__xludf.DUMMYFUNCTION("""COMPUTED_VALUE"""),"Техрейс")</f>
        <v>Техрейс</v>
      </c>
      <c r="C144" t="str">
        <f ca="1">IFERROR(__xludf.DUMMYFUNCTION("""COMPUTED_VALUE"""),"Аурум Транс")</f>
        <v>Аурум Транс</v>
      </c>
      <c r="D144">
        <f ca="1">IFERROR(__xludf.DUMMYFUNCTION("""COMPUTED_VALUE"""),64260011)</f>
        <v>64260011</v>
      </c>
      <c r="E144" t="str">
        <f ca="1">IFERROR(__xludf.DUMMYFUNCTION("""COMPUTED_VALUE"""),"60 ПОЛУВАГОНЫ")</f>
        <v>60 ПОЛУВАГОНЫ</v>
      </c>
      <c r="F144">
        <f ca="1">IFERROR(__xludf.DUMMYFUNCTION("""COMPUTED_VALUE"""),42103)</f>
        <v>42103</v>
      </c>
      <c r="G144" t="str">
        <f ca="1">IFERROR(__xludf.DUMMYFUNCTION("""COMPUTED_VALUE"""),"ВАГОНЫ ЖД СВ")</f>
        <v>ВАГОНЫ ЖД СВ</v>
      </c>
      <c r="H144">
        <f ca="1">IFERROR(__xludf.DUMMYFUNCTION("""COMPUTED_VALUE"""),0)</f>
        <v>0</v>
      </c>
      <c r="I144">
        <f ca="1">IFERROR(__xludf.DUMMYFUNCTION("""COMPUTED_VALUE"""),5343)</f>
        <v>5343</v>
      </c>
      <c r="J144" t="str">
        <f ca="1">IFERROR(__xludf.DUMMYFUNCTION("""COMPUTED_VALUE"""),"2634 (40050-068-46720) БЕРЕГОВАЯ - КРИВОЙ РОГ")</f>
        <v>2634 (40050-068-46720) БЕРЕГОВАЯ - КРИВОЙ РОГ</v>
      </c>
      <c r="K144">
        <f ca="1">IFERROR(__xludf.DUMMYFUNCTION("""COMPUTED_VALUE"""),41360)</f>
        <v>41360</v>
      </c>
      <c r="L144" t="str">
        <f ca="1">IFERROR(__xludf.DUMMYFUNCTION("""COMPUTED_VALUE"""),"ЧЕРВОН.ОЗЕРО")</f>
        <v>ЧЕРВОН.ОЗЕРО</v>
      </c>
      <c r="M144" t="str">
        <f ca="1">IFERROR(__xludf.DUMMYFUNCTION("""COMPUTED_VALUE"""),"11.08.21 17-05")</f>
        <v>11.08.21 17-05</v>
      </c>
      <c r="N144" t="str">
        <f ca="1">IFERROR(__xludf.DUMMYFUNCTION("""COMPUTED_VALUE"""),"01 ПРИБ")</f>
        <v>01 ПРИБ</v>
      </c>
      <c r="O144">
        <f ca="1">IFERROR(__xludf.DUMMYFUNCTION("""COMPUTED_VALUE"""),46720)</f>
        <v>46720</v>
      </c>
      <c r="P144" t="str">
        <f ca="1">IFERROR(__xludf.DUMMYFUNCTION("""COMPUTED_VALUE"""),"КРИВОЙ РОГ")</f>
        <v>КРИВОЙ РОГ</v>
      </c>
      <c r="Q144">
        <f ca="1">IFERROR(__xludf.DUMMYFUNCTION("""COMPUTED_VALUE"""),40050)</f>
        <v>40050</v>
      </c>
      <c r="R144" t="str">
        <f ca="1">IFERROR(__xludf.DUMMYFUNCTION("""COMPUTED_VALUE"""),"БЕРЕГОВАЯ")</f>
        <v>БЕРЕГОВАЯ</v>
      </c>
      <c r="S144" t="str">
        <f ca="1">IFERROR(__xludf.DUMMYFUNCTION("""COMPUTED_VALUE"""),"11.08.21 05-42")</f>
        <v>11.08.21 05-42</v>
      </c>
      <c r="T144">
        <f ca="1">IFERROR(__xludf.DUMMYFUNCTION("""COMPUTED_VALUE"""),8200)</f>
        <v>8200</v>
      </c>
      <c r="U144" t="str">
        <f ca="1">IFERROR(__xludf.DUMMYFUNCTION("""COMPUTED_VALUE"""),"05.06.2022 ДР")</f>
        <v>05.06.2022 ДР</v>
      </c>
      <c r="Z144" t="str">
        <f ca="1">IFERROR(__xludf.DUMMYFUNCTION("""COMPUTED_VALUE"""),"ООО «АУРУМ ТРАНС»")</f>
        <v>ООО «АУРУМ ТРАНС»</v>
      </c>
      <c r="AA144" t="str">
        <f ca="1">IFERROR(__xludf.DUMMYFUNCTION("""COMPUTED_VALUE"""),"12-9933-01")</f>
        <v>12-9933-01</v>
      </c>
      <c r="AB144" t="str">
        <f ca="1">IFERROR(__xludf.DUMMYFUNCTION("""COMPUTED_VALUE"""),"45 ПРИДН")</f>
        <v>45 ПРИДН</v>
      </c>
      <c r="AC144" t="str">
        <f ca="1">IFERROR(__xludf.DUMMYFUNCTION("""COMPUTED_VALUE"""),"46720 КРИВОЙ РОГ")</f>
        <v>46720 КРИВОЙ РОГ</v>
      </c>
      <c r="AD144" t="str">
        <f ca="1">IFERROR(__xludf.DUMMYFUNCTION("""COMPUTED_VALUE"""),"12.07.21 10-30")</f>
        <v>12.07.21 10-30</v>
      </c>
      <c r="AE144" t="str">
        <f ca="1">IFERROR(__xludf.DUMMYFUNCTION("""COMPUTED_VALUE"""),"540 НEИCПPAВНOCТЬ ЗAПOPA ЛЮКA")</f>
        <v>540 НEИCПPAВНOCТЬ ЗAПOPA ЛЮКA</v>
      </c>
      <c r="AF144" t="str">
        <f ca="1">IFERROR(__xludf.DUMMYFUNCTION("""COMPUTED_VALUE"""),"45 ПРИДН")</f>
        <v>45 ПРИДН</v>
      </c>
      <c r="AG144" t="str">
        <f ca="1">IFERROR(__xludf.DUMMYFUNCTION("""COMPUTED_VALUE"""),"46720 КРИВОЙ РОГ")</f>
        <v>46720 КРИВОЙ РОГ</v>
      </c>
      <c r="AH144" t="str">
        <f ca="1">IFERROR(__xludf.DUMMYFUNCTION("""COMPUTED_VALUE"""),"13.07.21 05-00")</f>
        <v>13.07.21 05-00</v>
      </c>
      <c r="AI144" s="21">
        <f ca="1">IFERROR(__xludf.DUMMYFUNCTION("""COMPUTED_VALUE"""),44420.3576736111)</f>
        <v>44420.357673611099</v>
      </c>
    </row>
    <row r="145" spans="1:35" ht="13" x14ac:dyDescent="0.15">
      <c r="A145">
        <f ca="1">IFERROR(__xludf.DUMMYFUNCTION("""COMPUTED_VALUE"""),497)</f>
        <v>497</v>
      </c>
      <c r="B145" t="str">
        <f ca="1">IFERROR(__xludf.DUMMYFUNCTION("""COMPUTED_VALUE"""),"Техрейс")</f>
        <v>Техрейс</v>
      </c>
      <c r="C145" t="str">
        <f ca="1">IFERROR(__xludf.DUMMYFUNCTION("""COMPUTED_VALUE"""),"ТрансЕнерджи")</f>
        <v>ТрансЕнерджи</v>
      </c>
      <c r="D145">
        <f ca="1">IFERROR(__xludf.DUMMYFUNCTION("""COMPUTED_VALUE"""),65782708)</f>
        <v>65782708</v>
      </c>
      <c r="E145" t="str">
        <f ca="1">IFERROR(__xludf.DUMMYFUNCTION("""COMPUTED_VALUE"""),"60 ПОЛУВАГОНЫ")</f>
        <v>60 ПОЛУВАГОНЫ</v>
      </c>
      <c r="F145">
        <f ca="1">IFERROR(__xludf.DUMMYFUNCTION("""COMPUTED_VALUE"""),42103)</f>
        <v>42103</v>
      </c>
      <c r="G145" t="str">
        <f ca="1">IFERROR(__xludf.DUMMYFUNCTION("""COMPUTED_VALUE"""),"ВАГОНЫ ЖД СВ")</f>
        <v>ВАГОНЫ ЖД СВ</v>
      </c>
      <c r="H145">
        <f ca="1">IFERROR(__xludf.DUMMYFUNCTION("""COMPUTED_VALUE"""),0)</f>
        <v>0</v>
      </c>
      <c r="I145">
        <f ca="1">IFERROR(__xludf.DUMMYFUNCTION("""COMPUTED_VALUE"""),5343)</f>
        <v>5343</v>
      </c>
      <c r="J145" t="str">
        <f ca="1">IFERROR(__xludf.DUMMYFUNCTION("""COMPUTED_VALUE"""),"2162 (40050-057-46720) БЕРЕГОВАЯ - КРИВОЙ РОГ")</f>
        <v>2162 (40050-057-46720) БЕРЕГОВАЯ - КРИВОЙ РОГ</v>
      </c>
      <c r="K145">
        <f ca="1">IFERROR(__xludf.DUMMYFUNCTION("""COMPUTED_VALUE"""),46720)</f>
        <v>46720</v>
      </c>
      <c r="L145" t="str">
        <f ca="1">IFERROR(__xludf.DUMMYFUNCTION("""COMPUTED_VALUE"""),"КРИВОЙ РОГ")</f>
        <v>КРИВОЙ РОГ</v>
      </c>
      <c r="M145" t="str">
        <f ca="1">IFERROR(__xludf.DUMMYFUNCTION("""COMPUTED_VALUE"""),"11.08.21 21-26")</f>
        <v>11.08.21 21-26</v>
      </c>
      <c r="N145" t="str">
        <f ca="1">IFERROR(__xludf.DUMMYFUNCTION("""COMPUTED_VALUE"""),"04 РАСФ")</f>
        <v>04 РАСФ</v>
      </c>
      <c r="O145">
        <f ca="1">IFERROR(__xludf.DUMMYFUNCTION("""COMPUTED_VALUE"""),46720)</f>
        <v>46720</v>
      </c>
      <c r="P145" t="str">
        <f ca="1">IFERROR(__xludf.DUMMYFUNCTION("""COMPUTED_VALUE"""),"КРИВОЙ РОГ")</f>
        <v>КРИВОЙ РОГ</v>
      </c>
      <c r="Q145">
        <f ca="1">IFERROR(__xludf.DUMMYFUNCTION("""COMPUTED_VALUE"""),40050)</f>
        <v>40050</v>
      </c>
      <c r="R145" t="str">
        <f ca="1">IFERROR(__xludf.DUMMYFUNCTION("""COMPUTED_VALUE"""),"БЕРЕГОВАЯ")</f>
        <v>БЕРЕГОВАЯ</v>
      </c>
      <c r="S145" t="str">
        <f ca="1">IFERROR(__xludf.DUMMYFUNCTION("""COMPUTED_VALUE"""),"10.08.21 03-30")</f>
        <v>10.08.21 03-30</v>
      </c>
      <c r="T145">
        <f ca="1">IFERROR(__xludf.DUMMYFUNCTION("""COMPUTED_VALUE"""),8200)</f>
        <v>8200</v>
      </c>
      <c r="U145" t="str">
        <f ca="1">IFERROR(__xludf.DUMMYFUNCTION("""COMPUTED_VALUE"""),"08.07.2024 КР")</f>
        <v>08.07.2024 КР</v>
      </c>
      <c r="Z145" t="str">
        <f ca="1">IFERROR(__xludf.DUMMYFUNCTION("""COMPUTED_VALUE"""),"ООО «ТРАНС ЭНЕРДЖИ»")</f>
        <v>ООО «ТРАНС ЭНЕРДЖИ»</v>
      </c>
      <c r="AA145" t="str">
        <f ca="1">IFERROR(__xludf.DUMMYFUNCTION("""COMPUTED_VALUE"""),"12-9790")</f>
        <v>12-9790</v>
      </c>
      <c r="AB145" t="str">
        <f ca="1">IFERROR(__xludf.DUMMYFUNCTION("""COMPUTED_VALUE"""),"45 ПРИДН")</f>
        <v>45 ПРИДН</v>
      </c>
      <c r="AC145" t="str">
        <f ca="1">IFERROR(__xludf.DUMMYFUNCTION("""COMPUTED_VALUE"""),"46710 КРИВ.РОГ-СОР")</f>
        <v>46710 КРИВ.РОГ-СОР</v>
      </c>
      <c r="AD145" t="str">
        <f ca="1">IFERROR(__xludf.DUMMYFUNCTION("""COMPUTED_VALUE"""),"27.05.21 09-17")</f>
        <v>27.05.21 09-17</v>
      </c>
      <c r="AE145" t="str">
        <f ca="1">IFERROR(__xludf.DUMMYFUNCTION("""COMPUTED_VALUE"""),"570 ИCТEК КAЛЕНДАРНЫЙ CPOК ДEПOВCКОГО PEМOНТA")</f>
        <v>570 ИCТEК КAЛЕНДАРНЫЙ CPOК ДEПOВCКОГО PEМOНТA</v>
      </c>
      <c r="AF145" t="str">
        <f ca="1">IFERROR(__xludf.DUMMYFUNCTION("""COMPUTED_VALUE"""),"45 ПРИДН")</f>
        <v>45 ПРИДН</v>
      </c>
      <c r="AG145" t="str">
        <f ca="1">IFERROR(__xludf.DUMMYFUNCTION("""COMPUTED_VALUE"""),"46710 КРИВ.РОГ-СОР")</f>
        <v>46710 КРИВ.РОГ-СОР</v>
      </c>
      <c r="AH145" t="str">
        <f ca="1">IFERROR(__xludf.DUMMYFUNCTION("""COMPUTED_VALUE"""),"08.07.21 14-07")</f>
        <v>08.07.21 14-07</v>
      </c>
      <c r="AI145" s="21">
        <f ca="1">IFERROR(__xludf.DUMMYFUNCTION("""COMPUTED_VALUE"""),44420.3576736111)</f>
        <v>44420.357673611099</v>
      </c>
    </row>
    <row r="146" spans="1:35" ht="13" x14ac:dyDescent="0.15">
      <c r="A146">
        <f ca="1">IFERROR(__xludf.DUMMYFUNCTION("""COMPUTED_VALUE"""),498)</f>
        <v>498</v>
      </c>
      <c r="B146" t="str">
        <f ca="1">IFERROR(__xludf.DUMMYFUNCTION("""COMPUTED_VALUE"""),"Техрейс")</f>
        <v>Техрейс</v>
      </c>
      <c r="C146" t="str">
        <f ca="1">IFERROR(__xludf.DUMMYFUNCTION("""COMPUTED_VALUE"""),"ТрансЕнерджи")</f>
        <v>ТрансЕнерджи</v>
      </c>
      <c r="D146">
        <f ca="1">IFERROR(__xludf.DUMMYFUNCTION("""COMPUTED_VALUE"""),61356713)</f>
        <v>61356713</v>
      </c>
      <c r="E146" t="str">
        <f ca="1">IFERROR(__xludf.DUMMYFUNCTION("""COMPUTED_VALUE"""),"60 ПОЛУВАГОНЫ")</f>
        <v>60 ПОЛУВАГОНЫ</v>
      </c>
      <c r="F146">
        <f ca="1">IFERROR(__xludf.DUMMYFUNCTION("""COMPUTED_VALUE"""),43619)</f>
        <v>43619</v>
      </c>
      <c r="G146" t="str">
        <f ca="1">IFERROR(__xludf.DUMMYFUNCTION("""COMPUTED_VALUE"""),"УДОБР ХИМ ПР")</f>
        <v>УДОБР ХИМ ПР</v>
      </c>
      <c r="H146">
        <f ca="1">IFERROR(__xludf.DUMMYFUNCTION("""COMPUTED_VALUE"""),68)</f>
        <v>68</v>
      </c>
      <c r="I146">
        <f ca="1">IFERROR(__xludf.DUMMYFUNCTION("""COMPUTED_VALUE"""),2154)</f>
        <v>2154</v>
      </c>
      <c r="J146" t="str">
        <f ca="1">IFERROR(__xludf.DUMMYFUNCTION("""COMPUTED_VALUE"""),"2007 (41000-545-46710) ЗНАМЕНКА - КРИВ.РОГ-СОР")</f>
        <v>2007 (41000-545-46710) ЗНАМЕНКА - КРИВ.РОГ-СОР</v>
      </c>
      <c r="K146">
        <f ca="1">IFERROR(__xludf.DUMMYFUNCTION("""COMPUTED_VALUE"""),41400)</f>
        <v>41400</v>
      </c>
      <c r="L146" t="str">
        <f ca="1">IFERROR(__xludf.DUMMYFUNCTION("""COMPUTED_VALUE"""),"КУЦОВКА")</f>
        <v>КУЦОВКА</v>
      </c>
      <c r="M146" t="str">
        <f ca="1">IFERROR(__xludf.DUMMYFUNCTION("""COMPUTED_VALUE"""),"12.08.21 07-37")</f>
        <v>12.08.21 07-37</v>
      </c>
      <c r="N146" t="str">
        <f ca="1">IFERROR(__xludf.DUMMYFUNCTION("""COMPUTED_VALUE"""),"01 ПРИБ")</f>
        <v>01 ПРИБ</v>
      </c>
      <c r="O146">
        <f ca="1">IFERROR(__xludf.DUMMYFUNCTION("""COMPUTED_VALUE"""),46680)</f>
        <v>46680</v>
      </c>
      <c r="P146" t="str">
        <f ca="1">IFERROR(__xludf.DUMMYFUNCTION("""COMPUTED_VALUE"""),"РАДУШНАЯ")</f>
        <v>РАДУШНАЯ</v>
      </c>
      <c r="Q146">
        <f ca="1">IFERROR(__xludf.DUMMYFUNCTION("""COMPUTED_VALUE"""),40210)</f>
        <v>40210</v>
      </c>
      <c r="R146" t="str">
        <f ca="1">IFERROR(__xludf.DUMMYFUNCTION("""COMPUTED_VALUE"""),"ЧЕРНО-ПОРТ-Э")</f>
        <v>ЧЕРНО-ПОРТ-Э</v>
      </c>
      <c r="S146" t="str">
        <f ca="1">IFERROR(__xludf.DUMMYFUNCTION("""COMPUTED_VALUE"""),"04.08.21 18-22")</f>
        <v>04.08.21 18-22</v>
      </c>
      <c r="T146">
        <f ca="1">IFERROR(__xludf.DUMMYFUNCTION("""COMPUTED_VALUE"""),4307)</f>
        <v>4307</v>
      </c>
      <c r="U146" t="str">
        <f ca="1">IFERROR(__xludf.DUMMYFUNCTION("""COMPUTED_VALUE"""),"22.08.2021 ДР")</f>
        <v>22.08.2021 ДР</v>
      </c>
      <c r="Z146" t="str">
        <f ca="1">IFERROR(__xludf.DUMMYFUNCTION("""COMPUTED_VALUE"""),"ООО «ТРАНС ЭНЕРДЖИ»")</f>
        <v>ООО «ТРАНС ЭНЕРДЖИ»</v>
      </c>
      <c r="AA146" t="str">
        <f ca="1">IFERROR(__xludf.DUMMYFUNCTION("""COMPUTED_VALUE"""),"12-9790")</f>
        <v>12-9790</v>
      </c>
      <c r="AB146" t="str">
        <f ca="1">IFERROR(__xludf.DUMMYFUNCTION("""COMPUTED_VALUE"""),"43 ЮЖН")</f>
        <v>43 ЮЖН</v>
      </c>
      <c r="AC146" t="str">
        <f ca="1">IFERROR(__xludf.DUMMYFUNCTION("""COMPUTED_VALUE"""),"42500 КРЕМЕНЧУГ")</f>
        <v>42500 КРЕМЕНЧУГ</v>
      </c>
      <c r="AD146" t="str">
        <f ca="1">IFERROR(__xludf.DUMMYFUNCTION("""COMPUTED_VALUE"""),"08.07.20 05-59")</f>
        <v>08.07.20 05-59</v>
      </c>
      <c r="AE146" t="str">
        <f ca="1">IFERROR(__xludf.DUMMYFUNCTION("""COMPUTED_VALUE"""),"380 ТPEЩИНА ЦEНТPИPУЮЩEЙ БAЛКИ")</f>
        <v>380 ТPEЩИНА ЦEНТPИPУЮЩEЙ БAЛКИ</v>
      </c>
      <c r="AF146" t="str">
        <f ca="1">IFERROR(__xludf.DUMMYFUNCTION("""COMPUTED_VALUE"""),"43 ЮЖН")</f>
        <v>43 ЮЖН</v>
      </c>
      <c r="AG146" t="str">
        <f ca="1">IFERROR(__xludf.DUMMYFUNCTION("""COMPUTED_VALUE"""),"42500 КРЕМЕНЧУГ")</f>
        <v>42500 КРЕМЕНЧУГ</v>
      </c>
      <c r="AH146" t="str">
        <f ca="1">IFERROR(__xludf.DUMMYFUNCTION("""COMPUTED_VALUE"""),"08.07.20 16-00")</f>
        <v>08.07.20 16-00</v>
      </c>
      <c r="AI146" s="21">
        <f ca="1">IFERROR(__xludf.DUMMYFUNCTION("""COMPUTED_VALUE"""),44420.3576736111)</f>
        <v>44420.357673611099</v>
      </c>
    </row>
    <row r="147" spans="1:35" ht="13" x14ac:dyDescent="0.15">
      <c r="A147">
        <f ca="1">IFERROR(__xludf.DUMMYFUNCTION("""COMPUTED_VALUE"""),499)</f>
        <v>499</v>
      </c>
      <c r="B147" t="str">
        <f ca="1">IFERROR(__xludf.DUMMYFUNCTION("""COMPUTED_VALUE"""),"Техрейс")</f>
        <v>Техрейс</v>
      </c>
      <c r="C147" t="str">
        <f ca="1">IFERROR(__xludf.DUMMYFUNCTION("""COMPUTED_VALUE"""),"ТрансЕнерджи")</f>
        <v>ТрансЕнерджи</v>
      </c>
      <c r="D147">
        <f ca="1">IFERROR(__xludf.DUMMYFUNCTION("""COMPUTED_VALUE"""),62934211)</f>
        <v>62934211</v>
      </c>
      <c r="E147" t="str">
        <f ca="1">IFERROR(__xludf.DUMMYFUNCTION("""COMPUTED_VALUE"""),"60 ПОЛУВАГОНЫ")</f>
        <v>60 ПОЛУВАГОНЫ</v>
      </c>
      <c r="F147">
        <f ca="1">IFERROR(__xludf.DUMMYFUNCTION("""COMPUTED_VALUE"""),23239)</f>
        <v>23239</v>
      </c>
      <c r="G147" t="str">
        <f ca="1">IFERROR(__xludf.DUMMYFUNCTION("""COMPUTED_VALUE"""),"ЩЕБЕНЬ ГРАНИТ")</f>
        <v>ЩЕБЕНЬ ГРАНИТ</v>
      </c>
      <c r="H147">
        <f ca="1">IFERROR(__xludf.DUMMYFUNCTION("""COMPUTED_VALUE"""),70)</f>
        <v>70</v>
      </c>
      <c r="I147">
        <f ca="1">IFERROR(__xludf.DUMMYFUNCTION("""COMPUTED_VALUE"""),1810)</f>
        <v>1810</v>
      </c>
      <c r="J147" t="str">
        <f ca="1">IFERROR(__xludf.DUMMYFUNCTION("""COMPUTED_VALUE"""),"3444 (44020-421-43000) ОСНОВА - КУПЯНСК-СОРТ")</f>
        <v>3444 (44020-421-43000) ОСНОВА - КУПЯНСК-СОРТ</v>
      </c>
      <c r="K147">
        <f ca="1">IFERROR(__xludf.DUMMYFUNCTION("""COMPUTED_VALUE"""),43000)</f>
        <v>43000</v>
      </c>
      <c r="L147" t="str">
        <f ca="1">IFERROR(__xludf.DUMMYFUNCTION("""COMPUTED_VALUE"""),"КУПЯНСК-СОРТ")</f>
        <v>КУПЯНСК-СОРТ</v>
      </c>
      <c r="M147" t="str">
        <f ca="1">IFERROR(__xludf.DUMMYFUNCTION("""COMPUTED_VALUE"""),"12.08.21 06-10")</f>
        <v>12.08.21 06-10</v>
      </c>
      <c r="N147" t="str">
        <f ca="1">IFERROR(__xludf.DUMMYFUNCTION("""COMPUTED_VALUE"""),"51 ПРИБ")</f>
        <v>51 ПРИБ</v>
      </c>
      <c r="O147">
        <f ca="1">IFERROR(__xludf.DUMMYFUNCTION("""COMPUTED_VALUE"""),49820)</f>
        <v>49820</v>
      </c>
      <c r="P147" t="str">
        <f ca="1">IFERROR(__xludf.DUMMYFUNCTION("""COMPUTED_VALUE"""),"ПЕРЕЕЗДНАЯ")</f>
        <v>ПЕРЕЕЗДНАЯ</v>
      </c>
      <c r="Q147">
        <f ca="1">IFERROR(__xludf.DUMMYFUNCTION("""COMPUTED_VALUE"""),42560)</f>
        <v>42560</v>
      </c>
      <c r="R147" t="str">
        <f ca="1">IFERROR(__xludf.DUMMYFUNCTION("""COMPUTED_VALUE"""),"ЗОЛОТНИШИНО")</f>
        <v>ЗОЛОТНИШИНО</v>
      </c>
      <c r="S147" t="str">
        <f ca="1">IFERROR(__xludf.DUMMYFUNCTION("""COMPUTED_VALUE"""),"09.08.21 15-00")</f>
        <v>09.08.21 15-00</v>
      </c>
      <c r="T147">
        <f ca="1">IFERROR(__xludf.DUMMYFUNCTION("""COMPUTED_VALUE"""),840)</f>
        <v>840</v>
      </c>
      <c r="U147" t="str">
        <f ca="1">IFERROR(__xludf.DUMMYFUNCTION("""COMPUTED_VALUE"""),"06.06.2022 ДР")</f>
        <v>06.06.2022 ДР</v>
      </c>
      <c r="Z147" t="str">
        <f ca="1">IFERROR(__xludf.DUMMYFUNCTION("""COMPUTED_VALUE"""),"ООО «ТРАНС ЭНЕРДЖИ»")</f>
        <v>ООО «ТРАНС ЭНЕРДЖИ»</v>
      </c>
      <c r="AA147" t="str">
        <f ca="1">IFERROR(__xludf.DUMMYFUNCTION("""COMPUTED_VALUE"""),"12-9745")</f>
        <v>12-9745</v>
      </c>
      <c r="AB147" t="str">
        <f ca="1">IFERROR(__xludf.DUMMYFUNCTION("""COMPUTED_VALUE"""),"45 ПРИДН")</f>
        <v>45 ПРИДН</v>
      </c>
      <c r="AC147" t="str">
        <f ca="1">IFERROR(__xludf.DUMMYFUNCTION("""COMPUTED_VALUE"""),"45640 ВЕРХОВЦЕВО")</f>
        <v>45640 ВЕРХОВЦЕВО</v>
      </c>
      <c r="AD147" t="str">
        <f ca="1">IFERROR(__xludf.DUMMYFUNCTION("""COMPUTED_VALUE"""),"01.06.19 19-47")</f>
        <v>01.06.19 19-47</v>
      </c>
      <c r="AE147" t="str">
        <f ca="1">IFERROR(__xludf.DUMMYFUNCTION("""COMPUTED_VALUE"""),"570 ИCТEК КAЛЕНДАРНЫЙ CPOК ДEПOВCКОГО PEМOНТA")</f>
        <v>570 ИCТEК КAЛЕНДАРНЫЙ CPOК ДEПOВCКОГО PEМOНТA</v>
      </c>
      <c r="AF147" t="str">
        <f ca="1">IFERROR(__xludf.DUMMYFUNCTION("""COMPUTED_VALUE"""),"45 ПРИДН")</f>
        <v>45 ПРИДН</v>
      </c>
      <c r="AG147" t="str">
        <f ca="1">IFERROR(__xludf.DUMMYFUNCTION("""COMPUTED_VALUE"""),"45640 ВЕРХОВЦЕВО")</f>
        <v>45640 ВЕРХОВЦЕВО</v>
      </c>
      <c r="AH147" t="str">
        <f ca="1">IFERROR(__xludf.DUMMYFUNCTION("""COMPUTED_VALUE"""),"06.06.19 13-40")</f>
        <v>06.06.19 13-40</v>
      </c>
      <c r="AI147" s="21">
        <f ca="1">IFERROR(__xludf.DUMMYFUNCTION("""COMPUTED_VALUE"""),44420.3576736111)</f>
        <v>44420.357673611099</v>
      </c>
    </row>
    <row r="148" spans="1:35" ht="13" x14ac:dyDescent="0.15">
      <c r="A148">
        <f ca="1">IFERROR(__xludf.DUMMYFUNCTION("""COMPUTED_VALUE"""),503)</f>
        <v>503</v>
      </c>
      <c r="B148" t="str">
        <f ca="1">IFERROR(__xludf.DUMMYFUNCTION("""COMPUTED_VALUE"""),"Техрейс")</f>
        <v>Техрейс</v>
      </c>
      <c r="C148" t="str">
        <f ca="1">IFERROR(__xludf.DUMMYFUNCTION("""COMPUTED_VALUE"""),"ТрансЕнерджи")</f>
        <v>ТрансЕнерджи</v>
      </c>
      <c r="D148">
        <f ca="1">IFERROR(__xludf.DUMMYFUNCTION("""COMPUTED_VALUE"""),61357075)</f>
        <v>61357075</v>
      </c>
      <c r="E148" t="str">
        <f ca="1">IFERROR(__xludf.DUMMYFUNCTION("""COMPUTED_VALUE"""),"60 ПОЛУВАГОНЫ")</f>
        <v>60 ПОЛУВАГОНЫ</v>
      </c>
      <c r="F148">
        <f ca="1">IFERROR(__xludf.DUMMYFUNCTION("""COMPUTED_VALUE"""),42119)</f>
        <v>42119</v>
      </c>
      <c r="G148" t="str">
        <f ca="1">IFERROR(__xludf.DUMMYFUNCTION("""COMPUTED_VALUE"""),"ВАГОНЫ ЖД РЕМОН")</f>
        <v>ВАГОНЫ ЖД РЕМОН</v>
      </c>
      <c r="H148">
        <f ca="1">IFERROR(__xludf.DUMMYFUNCTION("""COMPUTED_VALUE"""),0)</f>
        <v>0</v>
      </c>
      <c r="I148">
        <f ca="1">IFERROR(__xludf.DUMMYFUNCTION("""COMPUTED_VALUE"""),1426)</f>
        <v>1426</v>
      </c>
      <c r="J148" t="str">
        <f ca="1">IFERROR(__xludf.DUMMYFUNCTION("""COMPUTED_VALUE"""),"1111 (33580-181-33000) ВИННИЦА - ЖМЕРИНКА")</f>
        <v>1111 (33580-181-33000) ВИННИЦА - ЖМЕРИНКА</v>
      </c>
      <c r="K148">
        <f ca="1">IFERROR(__xludf.DUMMYFUNCTION("""COMPUTED_VALUE"""),33580)</f>
        <v>33580</v>
      </c>
      <c r="L148" t="str">
        <f ca="1">IFERROR(__xludf.DUMMYFUNCTION("""COMPUTED_VALUE"""),"ВИННИЦА")</f>
        <v>ВИННИЦА</v>
      </c>
      <c r="M148" t="str">
        <f ca="1">IFERROR(__xludf.DUMMYFUNCTION("""COMPUTED_VALUE"""),"12.08.21 04-23")</f>
        <v>12.08.21 04-23</v>
      </c>
      <c r="N148" t="str">
        <f ca="1">IFERROR(__xludf.DUMMYFUNCTION("""COMPUTED_VALUE"""),"05 ФОРМ")</f>
        <v>05 ФОРМ</v>
      </c>
      <c r="O148">
        <f ca="1">IFERROR(__xludf.DUMMYFUNCTION("""COMPUTED_VALUE"""),33000)</f>
        <v>33000</v>
      </c>
      <c r="P148" t="str">
        <f ca="1">IFERROR(__xludf.DUMMYFUNCTION("""COMPUTED_VALUE"""),"ЖМЕРИНКА")</f>
        <v>ЖМЕРИНКА</v>
      </c>
      <c r="Q148">
        <f ca="1">IFERROR(__xludf.DUMMYFUNCTION("""COMPUTED_VALUE"""),35680)</f>
        <v>35680</v>
      </c>
      <c r="R148" t="str">
        <f ca="1">IFERROR(__xludf.DUMMYFUNCTION("""COMPUTED_VALUE"""),"КОСТОПОЛЬ")</f>
        <v>КОСТОПОЛЬ</v>
      </c>
      <c r="S148" t="str">
        <f ca="1">IFERROR(__xludf.DUMMYFUNCTION("""COMPUTED_VALUE"""),"02.08.21 14-25")</f>
        <v>02.08.21 14-25</v>
      </c>
      <c r="T148">
        <f ca="1">IFERROR(__xludf.DUMMYFUNCTION("""COMPUTED_VALUE"""),8200)</f>
        <v>8200</v>
      </c>
      <c r="U148" t="str">
        <f ca="1">IFERROR(__xludf.DUMMYFUNCTION("""COMPUTED_VALUE"""),"05.08.2021 ДР")</f>
        <v>05.08.2021 ДР</v>
      </c>
      <c r="Z148" t="str">
        <f ca="1">IFERROR(__xludf.DUMMYFUNCTION("""COMPUTED_VALUE"""),"ООО «ТРАНС ЭНЕРДЖИ»")</f>
        <v>ООО «ТРАНС ЭНЕРДЖИ»</v>
      </c>
      <c r="AA148" t="str">
        <f ca="1">IFERROR(__xludf.DUMMYFUNCTION("""COMPUTED_VALUE"""),"12-9790")</f>
        <v>12-9790</v>
      </c>
      <c r="AB148" t="str">
        <f ca="1">IFERROR(__xludf.DUMMYFUNCTION("""COMPUTED_VALUE"""),"35 ЛЬВ")</f>
        <v>35 ЛЬВ</v>
      </c>
      <c r="AC148" t="str">
        <f ca="1">IFERROR(__xludf.DUMMYFUNCTION("""COMPUTED_VALUE"""),"35680 КОСТОПОЛЬ")</f>
        <v>35680 КОСТОПОЛЬ</v>
      </c>
      <c r="AD148" t="str">
        <f ca="1">IFERROR(__xludf.DUMMYFUNCTION("""COMPUTED_VALUE"""),"02.08.21 14-20")</f>
        <v>02.08.21 14-20</v>
      </c>
      <c r="AE148" t="str">
        <f ca="1">IFERROR(__xludf.DUMMYFUNCTION("""COMPUTED_VALUE"""),"570 ИCТEК КAЛЕНДАРНЫЙ CPOК ДEПOВCКОГО PEМOНТA")</f>
        <v>570 ИCТEК КAЛЕНДАРНЫЙ CPOК ДEПOВCКОГО PEМOНТA</v>
      </c>
      <c r="AF148" t="str">
        <f ca="1">IFERROR(__xludf.DUMMYFUNCTION("""COMPUTED_VALUE"""),"35 ЛЬВ")</f>
        <v>35 ЛЬВ</v>
      </c>
      <c r="AG148" t="str">
        <f ca="1">IFERROR(__xludf.DUMMYFUNCTION("""COMPUTED_VALUE"""),"35400 КОВЕЛЬ")</f>
        <v>35400 КОВЕЛЬ</v>
      </c>
      <c r="AH148" t="str">
        <f ca="1">IFERROR(__xludf.DUMMYFUNCTION("""COMPUTED_VALUE"""),"01.05.21 17-50")</f>
        <v>01.05.21 17-50</v>
      </c>
      <c r="AI148" s="21">
        <f ca="1">IFERROR(__xludf.DUMMYFUNCTION("""COMPUTED_VALUE"""),44420.3576736111)</f>
        <v>44420.357673611099</v>
      </c>
    </row>
    <row r="149" spans="1:35" ht="13" x14ac:dyDescent="0.15">
      <c r="A149">
        <f ca="1">IFERROR(__xludf.DUMMYFUNCTION("""COMPUTED_VALUE"""),508)</f>
        <v>508</v>
      </c>
      <c r="B149" t="str">
        <f ca="1">IFERROR(__xludf.DUMMYFUNCTION("""COMPUTED_VALUE"""),"Лидер")</f>
        <v>Лидер</v>
      </c>
      <c r="C149" t="str">
        <f ca="1">IFERROR(__xludf.DUMMYFUNCTION("""COMPUTED_VALUE"""),"ТрансЕнерджи")</f>
        <v>ТрансЕнерджи</v>
      </c>
      <c r="D149">
        <f ca="1">IFERROR(__xludf.DUMMYFUNCTION("""COMPUTED_VALUE"""),65761132)</f>
        <v>65761132</v>
      </c>
      <c r="E149" t="str">
        <f ca="1">IFERROR(__xludf.DUMMYFUNCTION("""COMPUTED_VALUE"""),"60 ПОЛУВАГОНЫ")</f>
        <v>60 ПОЛУВАГОНЫ</v>
      </c>
      <c r="F149">
        <f ca="1">IFERROR(__xludf.DUMMYFUNCTION("""COMPUTED_VALUE"""),42103)</f>
        <v>42103</v>
      </c>
      <c r="G149" t="str">
        <f ca="1">IFERROR(__xludf.DUMMYFUNCTION("""COMPUTED_VALUE"""),"ВАГОНЫ ЖД СВ")</f>
        <v>ВАГОНЫ ЖД СВ</v>
      </c>
      <c r="H149">
        <f ca="1">IFERROR(__xludf.DUMMYFUNCTION("""COMPUTED_VALUE"""),0)</f>
        <v>0</v>
      </c>
      <c r="I149">
        <f ca="1">IFERROR(__xludf.DUMMYFUNCTION("""COMPUTED_VALUE"""),7052)</f>
        <v>7052</v>
      </c>
      <c r="J149" t="str">
        <f ca="1">IFERROR(__xludf.DUMMYFUNCTION("""COMPUTED_VALUE"""),"1111 (49870-080-43000) РУБЕЖНОЕ - КУПЯНСК-СОРТ")</f>
        <v>1111 (49870-080-43000) РУБЕЖНОЕ - КУПЯНСК-СОРТ</v>
      </c>
      <c r="K149">
        <f ca="1">IFERROR(__xludf.DUMMYFUNCTION("""COMPUTED_VALUE"""),49870)</f>
        <v>49870</v>
      </c>
      <c r="L149" t="str">
        <f ca="1">IFERROR(__xludf.DUMMYFUNCTION("""COMPUTED_VALUE"""),"РУБЕЖНОЕ")</f>
        <v>РУБЕЖНОЕ</v>
      </c>
      <c r="M149" t="str">
        <f ca="1">IFERROR(__xludf.DUMMYFUNCTION("""COMPUTED_VALUE"""),"12.08.21 05-40")</f>
        <v>12.08.21 05-40</v>
      </c>
      <c r="N149" t="str">
        <f ca="1">IFERROR(__xludf.DUMMYFUNCTION("""COMPUTED_VALUE"""),"05 ФОРМ")</f>
        <v>05 ФОРМ</v>
      </c>
      <c r="O149">
        <f ca="1">IFERROR(__xludf.DUMMYFUNCTION("""COMPUTED_VALUE"""),34850)</f>
        <v>34850</v>
      </c>
      <c r="P149" t="str">
        <f ca="1">IFERROR(__xludf.DUMMYFUNCTION("""COMPUTED_VALUE"""),"УШИЦА")</f>
        <v>УШИЦА</v>
      </c>
      <c r="Q149">
        <f ca="1">IFERROR(__xludf.DUMMYFUNCTION("""COMPUTED_VALUE"""),49870)</f>
        <v>49870</v>
      </c>
      <c r="R149" t="str">
        <f ca="1">IFERROR(__xludf.DUMMYFUNCTION("""COMPUTED_VALUE"""),"РУБЕЖНОЕ")</f>
        <v>РУБЕЖНОЕ</v>
      </c>
      <c r="S149" t="str">
        <f ca="1">IFERROR(__xludf.DUMMYFUNCTION("""COMPUTED_VALUE"""),"11.08.21 21-30")</f>
        <v>11.08.21 21-30</v>
      </c>
      <c r="T149">
        <f ca="1">IFERROR(__xludf.DUMMYFUNCTION("""COMPUTED_VALUE"""),2992)</f>
        <v>2992</v>
      </c>
      <c r="U149" t="str">
        <f ca="1">IFERROR(__xludf.DUMMYFUNCTION("""COMPUTED_VALUE"""),"04.01.2022 ДР")</f>
        <v>04.01.2022 ДР</v>
      </c>
      <c r="Z149" t="str">
        <f ca="1">IFERROR(__xludf.DUMMYFUNCTION("""COMPUTED_VALUE"""),"ООО «ТРАНС ЭНЕРДЖИ»")</f>
        <v>ООО «ТРАНС ЭНЕРДЖИ»</v>
      </c>
      <c r="AA149" t="str">
        <f ca="1">IFERROR(__xludf.DUMMYFUNCTION("""COMPUTED_VALUE"""),"12-9790")</f>
        <v>12-9790</v>
      </c>
      <c r="AB149" t="str">
        <f ca="1">IFERROR(__xludf.DUMMYFUNCTION("""COMPUTED_VALUE"""),"45 ПРИДН")</f>
        <v>45 ПРИДН</v>
      </c>
      <c r="AC149" t="str">
        <f ca="1">IFERROR(__xludf.DUMMYFUNCTION("""COMPUTED_VALUE"""),"45580 КАМЕНСКОЕ")</f>
        <v>45580 КАМЕНСКОЕ</v>
      </c>
      <c r="AD149" t="str">
        <f ca="1">IFERROR(__xludf.DUMMYFUNCTION("""COMPUTED_VALUE"""),"08.04.21 05-30")</f>
        <v>08.04.21 05-30</v>
      </c>
      <c r="AE149" t="str">
        <f ca="1">IFERROR(__xludf.DUMMYFUNCTION("""COMPUTED_VALUE"""),"540 НEИCПPAВНOCТЬ ЗAПOPA ЛЮКA")</f>
        <v>540 НEИCПPAВНOCТЬ ЗAПOPA ЛЮКA</v>
      </c>
      <c r="AF149" t="str">
        <f ca="1">IFERROR(__xludf.DUMMYFUNCTION("""COMPUTED_VALUE"""),"45 ПРИДН")</f>
        <v>45 ПРИДН</v>
      </c>
      <c r="AG149" t="str">
        <f ca="1">IFERROR(__xludf.DUMMYFUNCTION("""COMPUTED_VALUE"""),"45580 КАМЕНСКОЕ")</f>
        <v>45580 КАМЕНСКОЕ</v>
      </c>
      <c r="AH149" t="str">
        <f ca="1">IFERROR(__xludf.DUMMYFUNCTION("""COMPUTED_VALUE"""),"15.04.21 14-20")</f>
        <v>15.04.21 14-20</v>
      </c>
      <c r="AI149" s="21">
        <f ca="1">IFERROR(__xludf.DUMMYFUNCTION("""COMPUTED_VALUE"""),44420.3576736111)</f>
        <v>44420.357673611099</v>
      </c>
    </row>
    <row r="150" spans="1:35" ht="13" x14ac:dyDescent="0.15">
      <c r="A150">
        <f ca="1">IFERROR(__xludf.DUMMYFUNCTION("""COMPUTED_VALUE"""),509)</f>
        <v>509</v>
      </c>
      <c r="B150" t="str">
        <f ca="1">IFERROR(__xludf.DUMMYFUNCTION("""COMPUTED_VALUE"""),"Ламан-Шипинг")</f>
        <v>Ламан-Шипинг</v>
      </c>
      <c r="C150" t="str">
        <f ca="1">IFERROR(__xludf.DUMMYFUNCTION("""COMPUTED_VALUE"""),"ТрансЕнерджи")</f>
        <v>ТрансЕнерджи</v>
      </c>
      <c r="D150">
        <f ca="1">IFERROR(__xludf.DUMMYFUNCTION("""COMPUTED_VALUE"""),55082408)</f>
        <v>55082408</v>
      </c>
      <c r="E150" t="str">
        <f ca="1">IFERROR(__xludf.DUMMYFUNCTION("""COMPUTED_VALUE"""),"60 ПОЛУВАГОНЫ")</f>
        <v>60 ПОЛУВАГОНЫ</v>
      </c>
      <c r="F150">
        <f ca="1">IFERROR(__xludf.DUMMYFUNCTION("""COMPUTED_VALUE"""),23107)</f>
        <v>23107</v>
      </c>
      <c r="G150" t="str">
        <f ca="1">IFERROR(__xludf.DUMMYFUNCTION("""COMPUTED_VALUE"""),"ПЕСОК СТРОИТ")</f>
        <v>ПЕСОК СТРОИТ</v>
      </c>
      <c r="H150">
        <f ca="1">IFERROR(__xludf.DUMMYFUNCTION("""COMPUTED_VALUE"""),70)</f>
        <v>70</v>
      </c>
      <c r="I150">
        <f ca="1">IFERROR(__xludf.DUMMYFUNCTION("""COMPUTED_VALUE"""),1213)</f>
        <v>1213</v>
      </c>
      <c r="J150" t="str">
        <f ca="1">IFERROR(__xludf.DUMMYFUNCTION("""COMPUTED_VALUE"""),"9512 (34750-007-32000) ПЕНИЗЕВИЧИ - ДАРНИЦА")</f>
        <v>9512 (34750-007-32000) ПЕНИЗЕВИЧИ - ДАРНИЦА</v>
      </c>
      <c r="K150">
        <f ca="1">IFERROR(__xludf.DUMMYFUNCTION("""COMPUTED_VALUE"""),32010)</f>
        <v>32010</v>
      </c>
      <c r="L150" t="str">
        <f ca="1">IFERROR(__xludf.DUMMYFUNCTION("""COMPUTED_VALUE"""),"КИЕВ-ДЕМЕЕВС")</f>
        <v>КИЕВ-ДЕМЕЕВС</v>
      </c>
      <c r="M150" t="str">
        <f ca="1">IFERROR(__xludf.DUMMYFUNCTION("""COMPUTED_VALUE"""),"11.08.21 16-54")</f>
        <v>11.08.21 16-54</v>
      </c>
      <c r="N150" t="str">
        <f ca="1">IFERROR(__xludf.DUMMYFUNCTION("""COMPUTED_VALUE"""),"01 ПРИБ")</f>
        <v>01 ПРИБ</v>
      </c>
      <c r="O150">
        <f ca="1">IFERROR(__xludf.DUMMYFUNCTION("""COMPUTED_VALUE"""),32330)</f>
        <v>32330</v>
      </c>
      <c r="P150" t="str">
        <f ca="1">IFERROR(__xludf.DUMMYFUNCTION("""COMPUTED_VALUE"""),"БРОВАРЫ")</f>
        <v>БРОВАРЫ</v>
      </c>
      <c r="Q150">
        <f ca="1">IFERROR(__xludf.DUMMYFUNCTION("""COMPUTED_VALUE"""),34750)</f>
        <v>34750</v>
      </c>
      <c r="R150" t="str">
        <f ca="1">IFERROR(__xludf.DUMMYFUNCTION("""COMPUTED_VALUE"""),"ПЕНИЗЕВИЧИ")</f>
        <v>ПЕНИЗЕВИЧИ</v>
      </c>
      <c r="S150" t="str">
        <f ca="1">IFERROR(__xludf.DUMMYFUNCTION("""COMPUTED_VALUE"""),"11.08.21 12-00")</f>
        <v>11.08.21 12-00</v>
      </c>
      <c r="T150">
        <f ca="1">IFERROR(__xludf.DUMMYFUNCTION("""COMPUTED_VALUE"""),3437)</f>
        <v>3437</v>
      </c>
      <c r="U150" t="str">
        <f ca="1">IFERROR(__xludf.DUMMYFUNCTION("""COMPUTED_VALUE"""),"18.02.2024 ДР")</f>
        <v>18.02.2024 ДР</v>
      </c>
      <c r="Z150" t="str">
        <f ca="1">IFERROR(__xludf.DUMMYFUNCTION("""COMPUTED_VALUE"""),"ООО «ТРАНС ЭНЕРДЖИ»")</f>
        <v>ООО «ТРАНС ЭНЕРДЖИ»</v>
      </c>
      <c r="AA150" t="str">
        <f ca="1">IFERROR(__xludf.DUMMYFUNCTION("""COMPUTED_VALUE"""),"12-783")</f>
        <v>12-783</v>
      </c>
      <c r="AB150" t="str">
        <f ca="1">IFERROR(__xludf.DUMMYFUNCTION("""COMPUTED_VALUE"""),"45 ПРИДН")</f>
        <v>45 ПРИДН</v>
      </c>
      <c r="AC150" t="str">
        <f ca="1">IFERROR(__xludf.DUMMYFUNCTION("""COMPUTED_VALUE"""),"46710 КРИВ.РОГ-СОР")</f>
        <v>46710 КРИВ.РОГ-СОР</v>
      </c>
      <c r="AD150" t="str">
        <f ca="1">IFERROR(__xludf.DUMMYFUNCTION("""COMPUTED_VALUE"""),"08.02.21 08-34")</f>
        <v>08.02.21 08-34</v>
      </c>
      <c r="AE150" t="str">
        <f ca="1">IFERROR(__xludf.DUMMYFUNCTION("""COMPUTED_VALUE"""),"570 ИCТEК КAЛЕНДАРНЫЙ CPOК ДEПOВCКОГО PEМOНТA")</f>
        <v>570 ИCТEК КAЛЕНДАРНЫЙ CPOК ДEПOВCКОГО PEМOНТA</v>
      </c>
      <c r="AF150" t="str">
        <f ca="1">IFERROR(__xludf.DUMMYFUNCTION("""COMPUTED_VALUE"""),"45 ПРИДН")</f>
        <v>45 ПРИДН</v>
      </c>
      <c r="AG150" t="str">
        <f ca="1">IFERROR(__xludf.DUMMYFUNCTION("""COMPUTED_VALUE"""),"46710 КРИВ.РОГ-СОР")</f>
        <v>46710 КРИВ.РОГ-СОР</v>
      </c>
      <c r="AH150" t="str">
        <f ca="1">IFERROR(__xludf.DUMMYFUNCTION("""COMPUTED_VALUE"""),"18.02.21 14-55")</f>
        <v>18.02.21 14-55</v>
      </c>
      <c r="AI150" s="21">
        <f ca="1">IFERROR(__xludf.DUMMYFUNCTION("""COMPUTED_VALUE"""),44420.3576736111)</f>
        <v>44420.357673611099</v>
      </c>
    </row>
    <row r="151" spans="1:35" ht="13" x14ac:dyDescent="0.15">
      <c r="A151">
        <f ca="1">IFERROR(__xludf.DUMMYFUNCTION("""COMPUTED_VALUE"""),510)</f>
        <v>510</v>
      </c>
      <c r="B151" t="str">
        <f ca="1">IFERROR(__xludf.DUMMYFUNCTION("""COMPUTED_VALUE"""),"Техрейс")</f>
        <v>Техрейс</v>
      </c>
      <c r="C151" t="str">
        <f ca="1">IFERROR(__xludf.DUMMYFUNCTION("""COMPUTED_VALUE"""),"ТрансЕнерджи")</f>
        <v>ТрансЕнерджи</v>
      </c>
      <c r="D151">
        <f ca="1">IFERROR(__xludf.DUMMYFUNCTION("""COMPUTED_VALUE"""),61356663)</f>
        <v>61356663</v>
      </c>
      <c r="E151" t="str">
        <f ca="1">IFERROR(__xludf.DUMMYFUNCTION("""COMPUTED_VALUE"""),"60 ПОЛУВАГОНЫ")</f>
        <v>60 ПОЛУВАГОНЫ</v>
      </c>
      <c r="F151">
        <f ca="1">IFERROR(__xludf.DUMMYFUNCTION("""COMPUTED_VALUE"""),24133)</f>
        <v>24133</v>
      </c>
      <c r="G151" t="str">
        <f ca="1">IFERROR(__xludf.DUMMYFUNCTION("""COMPUTED_VALUE"""),"КАМЕНЬ ИЗВЕСТ")</f>
        <v>КАМЕНЬ ИЗВЕСТ</v>
      </c>
      <c r="H151">
        <f ca="1">IFERROR(__xludf.DUMMYFUNCTION("""COMPUTED_VALUE"""),69)</f>
        <v>69</v>
      </c>
      <c r="I151">
        <f ca="1">IFERROR(__xludf.DUMMYFUNCTION("""COMPUTED_VALUE"""),6832)</f>
        <v>6832</v>
      </c>
      <c r="J151" t="str">
        <f ca="1">IFERROR(__xludf.DUMMYFUNCTION("""COMPUTED_VALUE"""),"3601 (45640-013-45650) ВЕРХОВЦЕВО - ВОЛЬНОГОРСК")</f>
        <v>3601 (45640-013-45650) ВЕРХОВЦЕВО - ВОЛЬНОГОРСК</v>
      </c>
      <c r="K151">
        <f ca="1">IFERROR(__xludf.DUMMYFUNCTION("""COMPUTED_VALUE"""),45650)</f>
        <v>45650</v>
      </c>
      <c r="L151" t="str">
        <f ca="1">IFERROR(__xludf.DUMMYFUNCTION("""COMPUTED_VALUE"""),"ВОЛЬНОГОРСК")</f>
        <v>ВОЛЬНОГОРСК</v>
      </c>
      <c r="M151" t="str">
        <f ca="1">IFERROR(__xludf.DUMMYFUNCTION("""COMPUTED_VALUE"""),"10.08.21 16-45")</f>
        <v>10.08.21 16-45</v>
      </c>
      <c r="N151" t="str">
        <f ca="1">IFERROR(__xludf.DUMMYFUNCTION("""COMPUTED_VALUE"""),"21 ВЫГ2")</f>
        <v>21 ВЫГ2</v>
      </c>
      <c r="O151">
        <f ca="1">IFERROR(__xludf.DUMMYFUNCTION("""COMPUTED_VALUE"""),45650)</f>
        <v>45650</v>
      </c>
      <c r="P151" t="str">
        <f ca="1">IFERROR(__xludf.DUMMYFUNCTION("""COMPUTED_VALUE"""),"ВОЛЬНОГОРСК")</f>
        <v>ВОЛЬНОГОРСК</v>
      </c>
      <c r="Q151">
        <f ca="1">IFERROR(__xludf.DUMMYFUNCTION("""COMPUTED_VALUE"""),41790)</f>
        <v>41790</v>
      </c>
      <c r="R151" t="str">
        <f ca="1">IFERROR(__xludf.DUMMYFUNCTION("""COMPUTED_VALUE"""),"ХЕРСОН-ПОРТ")</f>
        <v>ХЕРСОН-ПОРТ</v>
      </c>
      <c r="S151" t="str">
        <f ca="1">IFERROR(__xludf.DUMMYFUNCTION("""COMPUTED_VALUE"""),"03.08.21 15-20")</f>
        <v>03.08.21 15-20</v>
      </c>
      <c r="U151" t="str">
        <f ca="1">IFERROR(__xludf.DUMMYFUNCTION("""COMPUTED_VALUE"""),"17.05.2024 КР")</f>
        <v>17.05.2024 КР</v>
      </c>
      <c r="Z151" t="str">
        <f ca="1">IFERROR(__xludf.DUMMYFUNCTION("""COMPUTED_VALUE"""),"ООО «ТРАНС ЭНЕРДЖИ»")</f>
        <v>ООО «ТРАНС ЭНЕРДЖИ»</v>
      </c>
      <c r="AA151" t="str">
        <f ca="1">IFERROR(__xludf.DUMMYFUNCTION("""COMPUTED_VALUE"""),"12-9790")</f>
        <v>12-9790</v>
      </c>
      <c r="AB151" t="str">
        <f ca="1">IFERROR(__xludf.DUMMYFUNCTION("""COMPUTED_VALUE"""),"45 ПРИДН")</f>
        <v>45 ПРИДН</v>
      </c>
      <c r="AC151" t="str">
        <f ca="1">IFERROR(__xludf.DUMMYFUNCTION("""COMPUTED_VALUE"""),"46710 КРИВ.РОГ-СОР")</f>
        <v>46710 КРИВ.РОГ-СОР</v>
      </c>
      <c r="AD151" t="str">
        <f ca="1">IFERROR(__xludf.DUMMYFUNCTION("""COMPUTED_VALUE"""),"26.04.21 10-10")</f>
        <v>26.04.21 10-10</v>
      </c>
      <c r="AE151" t="str">
        <f ca="1">IFERROR(__xludf.DUMMYFUNCTION("""COMPUTED_VALUE"""),"570 ИCТEК КAЛЕНДАРНЫЙ CPOК ДEПOВCКОГО PEМOНТA")</f>
        <v>570 ИCТEК КAЛЕНДАРНЫЙ CPOК ДEПOВCКОГО PEМOНТA</v>
      </c>
      <c r="AF151" t="str">
        <f ca="1">IFERROR(__xludf.DUMMYFUNCTION("""COMPUTED_VALUE"""),"45 ПРИДН")</f>
        <v>45 ПРИДН</v>
      </c>
      <c r="AG151" t="str">
        <f ca="1">IFERROR(__xludf.DUMMYFUNCTION("""COMPUTED_VALUE"""),"46710 КРИВ.РОГ-СОР")</f>
        <v>46710 КРИВ.РОГ-СОР</v>
      </c>
      <c r="AH151" t="str">
        <f ca="1">IFERROR(__xludf.DUMMYFUNCTION("""COMPUTED_VALUE"""),"17.05.21 08-41")</f>
        <v>17.05.21 08-41</v>
      </c>
      <c r="AI151" s="21">
        <f ca="1">IFERROR(__xludf.DUMMYFUNCTION("""COMPUTED_VALUE"""),44420.3576736111)</f>
        <v>44420.357673611099</v>
      </c>
    </row>
    <row r="152" spans="1:35" ht="13" x14ac:dyDescent="0.15">
      <c r="A152">
        <f ca="1">IFERROR(__xludf.DUMMYFUNCTION("""COMPUTED_VALUE"""),511)</f>
        <v>511</v>
      </c>
      <c r="B152" t="str">
        <f ca="1">IFERROR(__xludf.DUMMYFUNCTION("""COMPUTED_VALUE"""),"Лидер")</f>
        <v>Лидер</v>
      </c>
      <c r="C152" t="str">
        <f ca="1">IFERROR(__xludf.DUMMYFUNCTION("""COMPUTED_VALUE"""),"ТрансЕнерджи")</f>
        <v>ТрансЕнерджи</v>
      </c>
      <c r="D152">
        <f ca="1">IFERROR(__xludf.DUMMYFUNCTION("""COMPUTED_VALUE"""),61357083)</f>
        <v>61357083</v>
      </c>
      <c r="E152" t="str">
        <f ca="1">IFERROR(__xludf.DUMMYFUNCTION("""COMPUTED_VALUE"""),"60 ПОЛУВАГОНЫ")</f>
        <v>60 ПОЛУВАГОНЫ</v>
      </c>
      <c r="F152">
        <f ca="1">IFERROR(__xludf.DUMMYFUNCTION("""COMPUTED_VALUE"""),42103)</f>
        <v>42103</v>
      </c>
      <c r="G152" t="str">
        <f ca="1">IFERROR(__xludf.DUMMYFUNCTION("""COMPUTED_VALUE"""),"ВАГОНЫ ЖД СВ")</f>
        <v>ВАГОНЫ ЖД СВ</v>
      </c>
      <c r="H152">
        <f ca="1">IFERROR(__xludf.DUMMYFUNCTION("""COMPUTED_VALUE"""),0)</f>
        <v>0</v>
      </c>
      <c r="I152">
        <f ca="1">IFERROR(__xludf.DUMMYFUNCTION("""COMPUTED_VALUE"""),7052)</f>
        <v>7052</v>
      </c>
      <c r="J152" t="str">
        <f ca="1">IFERROR(__xludf.DUMMYFUNCTION("""COMPUTED_VALUE"""),"3501 (36000-057-36240) ТЕРНОПОЛЬ - КОЗОВА")</f>
        <v>3501 (36000-057-36240) ТЕРНОПОЛЬ - КОЗОВА</v>
      </c>
      <c r="K152">
        <f ca="1">IFERROR(__xludf.DUMMYFUNCTION("""COMPUTED_VALUE"""),36240)</f>
        <v>36240</v>
      </c>
      <c r="L152" t="str">
        <f ca="1">IFERROR(__xludf.DUMMYFUNCTION("""COMPUTED_VALUE"""),"КОЗОВА")</f>
        <v>КОЗОВА</v>
      </c>
      <c r="M152" t="str">
        <f ca="1">IFERROR(__xludf.DUMMYFUNCTION("""COMPUTED_VALUE"""),"12.08.21 06-10")</f>
        <v>12.08.21 06-10</v>
      </c>
      <c r="N152" t="str">
        <f ca="1">IFERROR(__xludf.DUMMYFUNCTION("""COMPUTED_VALUE"""),"91 ПРДР")</f>
        <v>91 ПРДР</v>
      </c>
      <c r="O152">
        <f ca="1">IFERROR(__xludf.DUMMYFUNCTION("""COMPUTED_VALUE"""),34850)</f>
        <v>34850</v>
      </c>
      <c r="P152" t="str">
        <f ca="1">IFERROR(__xludf.DUMMYFUNCTION("""COMPUTED_VALUE"""),"УШИЦА")</f>
        <v>УШИЦА</v>
      </c>
      <c r="Q152">
        <f ca="1">IFERROR(__xludf.DUMMYFUNCTION("""COMPUTED_VALUE"""),36240)</f>
        <v>36240</v>
      </c>
      <c r="R152" t="str">
        <f ca="1">IFERROR(__xludf.DUMMYFUNCTION("""COMPUTED_VALUE"""),"КОЗОВА")</f>
        <v>КОЗОВА</v>
      </c>
      <c r="S152" t="str">
        <f ca="1">IFERROR(__xludf.DUMMYFUNCTION("""COMPUTED_VALUE"""),"12.08.21 06-10")</f>
        <v>12.08.21 06-10</v>
      </c>
      <c r="T152">
        <f ca="1">IFERROR(__xludf.DUMMYFUNCTION("""COMPUTED_VALUE"""),5633)</f>
        <v>5633</v>
      </c>
      <c r="U152" t="str">
        <f ca="1">IFERROR(__xludf.DUMMYFUNCTION("""COMPUTED_VALUE"""),"15.03.2022 ДР")</f>
        <v>15.03.2022 ДР</v>
      </c>
      <c r="Z152" t="str">
        <f ca="1">IFERROR(__xludf.DUMMYFUNCTION("""COMPUTED_VALUE"""),"ООО «ТРАНС ЭНЕРДЖИ»")</f>
        <v>ООО «ТРАНС ЭНЕРДЖИ»</v>
      </c>
      <c r="AA152" t="str">
        <f ca="1">IFERROR(__xludf.DUMMYFUNCTION("""COMPUTED_VALUE"""),"12-9790")</f>
        <v>12-9790</v>
      </c>
      <c r="AB152" t="str">
        <f ca="1">IFERROR(__xludf.DUMMYFUNCTION("""COMPUTED_VALUE"""),"32 Ю-ЗАП")</f>
        <v>32 Ю-ЗАП</v>
      </c>
      <c r="AC152" t="str">
        <f ca="1">IFERROR(__xludf.DUMMYFUNCTION("""COMPUTED_VALUE"""),"34000 ШЕПЕТОВКА")</f>
        <v>34000 ШЕПЕТОВКА</v>
      </c>
      <c r="AD152" t="str">
        <f ca="1">IFERROR(__xludf.DUMMYFUNCTION("""COMPUTED_VALUE"""),"16.05.21 07-15")</f>
        <v>16.05.21 07-15</v>
      </c>
      <c r="AE152" t="str">
        <f ca="1">IFERROR(__xludf.DUMMYFUNCTION("""COMPUTED_VALUE"""),"540 НEИCПPAВНOCТЬ ЗAПOPA ЛЮКA")</f>
        <v>540 НEИCПPAВНOCТЬ ЗAПOPA ЛЮКA</v>
      </c>
      <c r="AF152" t="str">
        <f ca="1">IFERROR(__xludf.DUMMYFUNCTION("""COMPUTED_VALUE"""),"32 Ю-ЗАП")</f>
        <v>32 Ю-ЗАП</v>
      </c>
      <c r="AG152" t="str">
        <f ca="1">IFERROR(__xludf.DUMMYFUNCTION("""COMPUTED_VALUE"""),"34000 ШЕПЕТОВКА")</f>
        <v>34000 ШЕПЕТОВКА</v>
      </c>
      <c r="AH152" t="str">
        <f ca="1">IFERROR(__xludf.DUMMYFUNCTION("""COMPUTED_VALUE"""),"25.05.21 13-00")</f>
        <v>25.05.21 13-00</v>
      </c>
      <c r="AI152" s="21">
        <f ca="1">IFERROR(__xludf.DUMMYFUNCTION("""COMPUTED_VALUE"""),44420.3576736111)</f>
        <v>44420.357673611099</v>
      </c>
    </row>
    <row r="153" spans="1:35" ht="13" x14ac:dyDescent="0.15">
      <c r="A153">
        <f ca="1">IFERROR(__xludf.DUMMYFUNCTION("""COMPUTED_VALUE"""),512)</f>
        <v>512</v>
      </c>
      <c r="B153" t="str">
        <f ca="1">IFERROR(__xludf.DUMMYFUNCTION("""COMPUTED_VALUE"""),"Техрейс")</f>
        <v>Техрейс</v>
      </c>
      <c r="C153" t="str">
        <f ca="1">IFERROR(__xludf.DUMMYFUNCTION("""COMPUTED_VALUE"""),"ТрансЕнерджи")</f>
        <v>ТрансЕнерджи</v>
      </c>
      <c r="D153">
        <f ca="1">IFERROR(__xludf.DUMMYFUNCTION("""COMPUTED_VALUE"""),61356804)</f>
        <v>61356804</v>
      </c>
      <c r="E153" t="str">
        <f ca="1">IFERROR(__xludf.DUMMYFUNCTION("""COMPUTED_VALUE"""),"60 ПОЛУВАГОНЫ")</f>
        <v>60 ПОЛУВАГОНЫ</v>
      </c>
      <c r="F153">
        <f ca="1">IFERROR(__xludf.DUMMYFUNCTION("""COMPUTED_VALUE"""),29101)</f>
        <v>29101</v>
      </c>
      <c r="G153" t="str">
        <f ca="1">IFERROR(__xludf.DUMMYFUNCTION("""COMPUTED_VALUE"""),"ДОЛОМИТ Д/СТЕК")</f>
        <v>ДОЛОМИТ Д/СТЕК</v>
      </c>
      <c r="H153">
        <f ca="1">IFERROR(__xludf.DUMMYFUNCTION("""COMPUTED_VALUE"""),70)</f>
        <v>70</v>
      </c>
      <c r="I153">
        <f ca="1">IFERROR(__xludf.DUMMYFUNCTION("""COMPUTED_VALUE"""),2421)</f>
        <v>2421</v>
      </c>
      <c r="J153" t="str">
        <f ca="1">IFERROR(__xludf.DUMMYFUNCTION("""COMPUTED_VALUE"""),"2238 (33000-396-32000) ЖМЕРИНКА - ДАРНИЦА")</f>
        <v>2238 (33000-396-32000) ЖМЕРИНКА - ДАРНИЦА</v>
      </c>
      <c r="K153">
        <f ca="1">IFERROR(__xludf.DUMMYFUNCTION("""COMPUTED_VALUE"""),33580)</f>
        <v>33580</v>
      </c>
      <c r="L153" t="str">
        <f ca="1">IFERROR(__xludf.DUMMYFUNCTION("""COMPUTED_VALUE"""),"ВИННИЦА")</f>
        <v>ВИННИЦА</v>
      </c>
      <c r="M153" t="str">
        <f ca="1">IFERROR(__xludf.DUMMYFUNCTION("""COMPUTED_VALUE"""),"11.08.21 14-58")</f>
        <v>11.08.21 14-58</v>
      </c>
      <c r="N153" t="str">
        <f ca="1">IFERROR(__xludf.DUMMYFUNCTION("""COMPUTED_VALUE"""),"01 ПРИБ")</f>
        <v>01 ПРИБ</v>
      </c>
      <c r="O153">
        <f ca="1">IFERROR(__xludf.DUMMYFUNCTION("""COMPUTED_VALUE"""),32210)</f>
        <v>32210</v>
      </c>
      <c r="P153" t="str">
        <f ca="1">IFERROR(__xludf.DUMMYFUNCTION("""COMPUTED_VALUE"""),"БУЧА")</f>
        <v>БУЧА</v>
      </c>
      <c r="Q153">
        <f ca="1">IFERROR(__xludf.DUMMYFUNCTION("""COMPUTED_VALUE"""),36440)</f>
        <v>36440</v>
      </c>
      <c r="R153" t="str">
        <f ca="1">IFERROR(__xludf.DUMMYFUNCTION("""COMPUTED_VALUE"""),"БУЧАЧ")</f>
        <v>БУЧАЧ</v>
      </c>
      <c r="S153" t="str">
        <f ca="1">IFERROR(__xludf.DUMMYFUNCTION("""COMPUTED_VALUE"""),"01.08.21 17-05")</f>
        <v>01.08.21 17-05</v>
      </c>
      <c r="T153">
        <f ca="1">IFERROR(__xludf.DUMMYFUNCTION("""COMPUTED_VALUE"""),1641)</f>
        <v>1641</v>
      </c>
      <c r="U153" t="str">
        <f ca="1">IFERROR(__xludf.DUMMYFUNCTION("""COMPUTED_VALUE"""),"11.06.2024 КР")</f>
        <v>11.06.2024 КР</v>
      </c>
      <c r="Z153" t="str">
        <f ca="1">IFERROR(__xludf.DUMMYFUNCTION("""COMPUTED_VALUE"""),"ООО «ТРАНС ЭНЕРДЖИ»")</f>
        <v>ООО «ТРАНС ЭНЕРДЖИ»</v>
      </c>
      <c r="AA153" t="str">
        <f ca="1">IFERROR(__xludf.DUMMYFUNCTION("""COMPUTED_VALUE"""),"12-9790")</f>
        <v>12-9790</v>
      </c>
      <c r="AB153" t="str">
        <f ca="1">IFERROR(__xludf.DUMMYFUNCTION("""COMPUTED_VALUE"""),"45 ПРИДН")</f>
        <v>45 ПРИДН</v>
      </c>
      <c r="AC153" t="str">
        <f ca="1">IFERROR(__xludf.DUMMYFUNCTION("""COMPUTED_VALUE"""),"46710 КРИВ.РОГ-СОР")</f>
        <v>46710 КРИВ.РОГ-СОР</v>
      </c>
      <c r="AD153" t="str">
        <f ca="1">IFERROR(__xludf.DUMMYFUNCTION("""COMPUTED_VALUE"""),"05.05.21 10-43")</f>
        <v>05.05.21 10-43</v>
      </c>
      <c r="AE153" t="str">
        <f ca="1">IFERROR(__xludf.DUMMYFUNCTION("""COMPUTED_VALUE"""),"570 ИCТEК КAЛЕНДАРНЫЙ CPOК ДEПOВCКОГО PEМOНТA")</f>
        <v>570 ИCТEК КAЛЕНДАРНЫЙ CPOК ДEПOВCКОГО PEМOНТA</v>
      </c>
      <c r="AF153" t="str">
        <f ca="1">IFERROR(__xludf.DUMMYFUNCTION("""COMPUTED_VALUE"""),"45 ПРИДН")</f>
        <v>45 ПРИДН</v>
      </c>
      <c r="AG153" t="str">
        <f ca="1">IFERROR(__xludf.DUMMYFUNCTION("""COMPUTED_VALUE"""),"46710 КРИВ.РОГ-СОР")</f>
        <v>46710 КРИВ.РОГ-СОР</v>
      </c>
      <c r="AH153" t="str">
        <f ca="1">IFERROR(__xludf.DUMMYFUNCTION("""COMPUTED_VALUE"""),"11.06.21 10-40")</f>
        <v>11.06.21 10-40</v>
      </c>
      <c r="AI153" s="21">
        <f ca="1">IFERROR(__xludf.DUMMYFUNCTION("""COMPUTED_VALUE"""),44420.3576736111)</f>
        <v>44420.357673611099</v>
      </c>
    </row>
    <row r="154" spans="1:35" ht="13" x14ac:dyDescent="0.15">
      <c r="A154">
        <f ca="1">IFERROR(__xludf.DUMMYFUNCTION("""COMPUTED_VALUE"""),513)</f>
        <v>513</v>
      </c>
      <c r="B154" t="str">
        <f ca="1">IFERROR(__xludf.DUMMYFUNCTION("""COMPUTED_VALUE"""),"Ламан-Шипинг скраренда")</f>
        <v>Ламан-Шипинг скраренда</v>
      </c>
      <c r="C154" t="str">
        <f ca="1">IFERROR(__xludf.DUMMYFUNCTION("""COMPUTED_VALUE"""),"Аурум Транс")</f>
        <v>Аурум Транс</v>
      </c>
      <c r="D154">
        <f ca="1">IFERROR(__xludf.DUMMYFUNCTION("""COMPUTED_VALUE"""),52290715)</f>
        <v>52290715</v>
      </c>
      <c r="E154" t="str">
        <f ca="1">IFERROR(__xludf.DUMMYFUNCTION("""COMPUTED_VALUE"""),"60 ПОЛУВАГОНЫ")</f>
        <v>60 ПОЛУВАГОНЫ</v>
      </c>
      <c r="F154">
        <f ca="1">IFERROR(__xludf.DUMMYFUNCTION("""COMPUTED_VALUE"""),24151)</f>
        <v>24151</v>
      </c>
      <c r="G154" t="str">
        <f ca="1">IFERROR(__xludf.DUMMYFUNCTION("""COMPUTED_VALUE"""),"ПРОДУКТ ПОЛЕВОШ")</f>
        <v>ПРОДУКТ ПОЛЕВОШ</v>
      </c>
      <c r="H154">
        <f ca="1">IFERROR(__xludf.DUMMYFUNCTION("""COMPUTED_VALUE"""),69)</f>
        <v>69</v>
      </c>
      <c r="I154">
        <f ca="1">IFERROR(__xludf.DUMMYFUNCTION("""COMPUTED_VALUE"""),8223)</f>
        <v>8223</v>
      </c>
      <c r="J154" t="str">
        <f ca="1">IFERROR(__xludf.DUMMYFUNCTION("""COMPUTED_VALUE"""),"3601 (32000-629-32010) ДАРНИЦА - КИЕВ-ДЕМЕЕВС")</f>
        <v>3601 (32000-629-32010) ДАРНИЦА - КИЕВ-ДЕМЕЕВС</v>
      </c>
      <c r="K154">
        <f ca="1">IFERROR(__xludf.DUMMYFUNCTION("""COMPUTED_VALUE"""),32010)</f>
        <v>32010</v>
      </c>
      <c r="L154" t="str">
        <f ca="1">IFERROR(__xludf.DUMMYFUNCTION("""COMPUTED_VALUE"""),"КИЕВ-ДЕМЕЕВС")</f>
        <v>КИЕВ-ДЕМЕЕВС</v>
      </c>
      <c r="M154" t="str">
        <f ca="1">IFERROR(__xludf.DUMMYFUNCTION("""COMPUTED_VALUE"""),"10.08.21 08-50")</f>
        <v>10.08.21 08-50</v>
      </c>
      <c r="N154" t="str">
        <f ca="1">IFERROR(__xludf.DUMMYFUNCTION("""COMPUTED_VALUE"""),"21 ВЫГ2")</f>
        <v>21 ВЫГ2</v>
      </c>
      <c r="O154">
        <f ca="1">IFERROR(__xludf.DUMMYFUNCTION("""COMPUTED_VALUE"""),32010)</f>
        <v>32010</v>
      </c>
      <c r="P154" t="str">
        <f ca="1">IFERROR(__xludf.DUMMYFUNCTION("""COMPUTED_VALUE"""),"КИЕВ-ДЕМЕЕВС")</f>
        <v>КИЕВ-ДЕМЕЕВС</v>
      </c>
      <c r="Q154">
        <f ca="1">IFERROR(__xludf.DUMMYFUNCTION("""COMPUTED_VALUE"""),34170)</f>
        <v>34170</v>
      </c>
      <c r="R154" t="str">
        <f ca="1">IFERROR(__xludf.DUMMYFUNCTION("""COMPUTED_VALUE"""),"ПОЛОННОЕ")</f>
        <v>ПОЛОННОЕ</v>
      </c>
      <c r="S154" t="str">
        <f ca="1">IFERROR(__xludf.DUMMYFUNCTION("""COMPUTED_VALUE"""),"07.08.21 17-45")</f>
        <v>07.08.21 17-45</v>
      </c>
      <c r="U154" t="str">
        <f ca="1">IFERROR(__xludf.DUMMYFUNCTION("""COMPUTED_VALUE"""),"18.09.2023 ДР")</f>
        <v>18.09.2023 ДР</v>
      </c>
      <c r="Z154" t="str">
        <f ca="1">IFERROR(__xludf.DUMMYFUNCTION("""COMPUTED_VALUE"""),"ООО «АУРУМ ТРАНС»")</f>
        <v>ООО «АУРУМ ТРАНС»</v>
      </c>
      <c r="AA154" t="str">
        <f ca="1">IFERROR(__xludf.DUMMYFUNCTION("""COMPUTED_VALUE"""),"12-9790")</f>
        <v>12-9790</v>
      </c>
      <c r="AB154" t="str">
        <f ca="1">IFERROR(__xludf.DUMMYFUNCTION("""COMPUTED_VALUE"""),"48 ДОН")</f>
        <v>48 ДОН</v>
      </c>
      <c r="AC154" t="str">
        <f ca="1">IFERROR(__xludf.DUMMYFUNCTION("""COMPUTED_VALUE"""),"49000 ЛИМАН")</f>
        <v>49000 ЛИМАН</v>
      </c>
      <c r="AD154" t="str">
        <f ca="1">IFERROR(__xludf.DUMMYFUNCTION("""COMPUTED_VALUE"""),"07.12.20 10-45")</f>
        <v>07.12.20 10-45</v>
      </c>
      <c r="AE154" t="str">
        <f ca="1">IFERROR(__xludf.DUMMYFUNCTION("""COMPUTED_VALUE"""),"380 ТPEЩИНА ЦEНТPИPУЮЩEЙ БAЛКИ")</f>
        <v>380 ТPEЩИНА ЦEНТPИPУЮЩEЙ БAЛКИ</v>
      </c>
      <c r="AF154" t="str">
        <f ca="1">IFERROR(__xludf.DUMMYFUNCTION("""COMPUTED_VALUE"""),"48 ДОН")</f>
        <v>48 ДОН</v>
      </c>
      <c r="AG154" t="str">
        <f ca="1">IFERROR(__xludf.DUMMYFUNCTION("""COMPUTED_VALUE"""),"49000 ЛИМАН")</f>
        <v>49000 ЛИМАН</v>
      </c>
      <c r="AH154" t="str">
        <f ca="1">IFERROR(__xludf.DUMMYFUNCTION("""COMPUTED_VALUE"""),"10.12.20 17-00")</f>
        <v>10.12.20 17-00</v>
      </c>
      <c r="AI154" s="21">
        <f ca="1">IFERROR(__xludf.DUMMYFUNCTION("""COMPUTED_VALUE"""),44420.3576736111)</f>
        <v>44420.357673611099</v>
      </c>
    </row>
    <row r="155" spans="1:35" ht="13" x14ac:dyDescent="0.15">
      <c r="A155">
        <f ca="1">IFERROR(__xludf.DUMMYFUNCTION("""COMPUTED_VALUE"""),515)</f>
        <v>515</v>
      </c>
      <c r="B155" t="str">
        <f ca="1">IFERROR(__xludf.DUMMYFUNCTION("""COMPUTED_VALUE"""),"Техрейс")</f>
        <v>Техрейс</v>
      </c>
      <c r="C155" t="str">
        <f ca="1">IFERROR(__xludf.DUMMYFUNCTION("""COMPUTED_VALUE"""),"Аурум Транс")</f>
        <v>Аурум Транс</v>
      </c>
      <c r="D155">
        <f ca="1">IFERROR(__xludf.DUMMYFUNCTION("""COMPUTED_VALUE"""),61398889)</f>
        <v>61398889</v>
      </c>
      <c r="E155" t="str">
        <f ca="1">IFERROR(__xludf.DUMMYFUNCTION("""COMPUTED_VALUE"""),"60 ПОЛУВАГОНЫ")</f>
        <v>60 ПОЛУВАГОНЫ</v>
      </c>
      <c r="F155">
        <f ca="1">IFERROR(__xludf.DUMMYFUNCTION("""COMPUTED_VALUE"""),23225)</f>
        <v>23225</v>
      </c>
      <c r="G155" t="str">
        <f ca="1">IFERROR(__xludf.DUMMYFUNCTION("""COMPUTED_VALUE"""),"ОТСЕВ ГРАН КАМ")</f>
        <v>ОТСЕВ ГРАН КАМ</v>
      </c>
      <c r="H155">
        <f ca="1">IFERROR(__xludf.DUMMYFUNCTION("""COMPUTED_VALUE"""),70)</f>
        <v>70</v>
      </c>
      <c r="I155">
        <f ca="1">IFERROR(__xludf.DUMMYFUNCTION("""COMPUTED_VALUE"""),3392)</f>
        <v>3392</v>
      </c>
      <c r="J155" t="str">
        <f ca="1">IFERROR(__xludf.DUMMYFUNCTION("""COMPUTED_VALUE"""),"3001 (49000-773-49200) ЛИМАН - СЛАВЯНСК")</f>
        <v>3001 (49000-773-49200) ЛИМАН - СЛАВЯНСК</v>
      </c>
      <c r="K155">
        <f ca="1">IFERROR(__xludf.DUMMYFUNCTION("""COMPUTED_VALUE"""),49000)</f>
        <v>49000</v>
      </c>
      <c r="L155" t="str">
        <f ca="1">IFERROR(__xludf.DUMMYFUNCTION("""COMPUTED_VALUE"""),"ЛИМАН")</f>
        <v>ЛИМАН</v>
      </c>
      <c r="M155" t="str">
        <f ca="1">IFERROR(__xludf.DUMMYFUNCTION("""COMPUTED_VALUE"""),"11.08.21 22-06")</f>
        <v>11.08.21 22-06</v>
      </c>
      <c r="N155" t="str">
        <f ca="1">IFERROR(__xludf.DUMMYFUNCTION("""COMPUTED_VALUE"""),"05 ФОРМ")</f>
        <v>05 ФОРМ</v>
      </c>
      <c r="O155">
        <f ca="1">IFERROR(__xludf.DUMMYFUNCTION("""COMPUTED_VALUE"""),49190)</f>
        <v>49190</v>
      </c>
      <c r="P155" t="str">
        <f ca="1">IFERROR(__xludf.DUMMYFUNCTION("""COMPUTED_VALUE"""),"ШПИЧКИНО")</f>
        <v>ШПИЧКИНО</v>
      </c>
      <c r="Q155">
        <f ca="1">IFERROR(__xludf.DUMMYFUNCTION("""COMPUTED_VALUE"""),34650)</f>
        <v>34650</v>
      </c>
      <c r="R155" t="str">
        <f ca="1">IFERROR(__xludf.DUMMYFUNCTION("""COMPUTED_VALUE"""),"БЕХИ")</f>
        <v>БЕХИ</v>
      </c>
      <c r="S155" t="str">
        <f ca="1">IFERROR(__xludf.DUMMYFUNCTION("""COMPUTED_VALUE"""),"07.08.21 14-27")</f>
        <v>07.08.21 14-27</v>
      </c>
      <c r="T155">
        <f ca="1">IFERROR(__xludf.DUMMYFUNCTION("""COMPUTED_VALUE"""),5380)</f>
        <v>5380</v>
      </c>
      <c r="U155" t="str">
        <f ca="1">IFERROR(__xludf.DUMMYFUNCTION("""COMPUTED_VALUE"""),"02.10.2021 ДР")</f>
        <v>02.10.2021 ДР</v>
      </c>
      <c r="Z155" t="str">
        <f ca="1">IFERROR(__xludf.DUMMYFUNCTION("""COMPUTED_VALUE"""),"ООО «АУРУМ ТРАНС»")</f>
        <v>ООО «АУРУМ ТРАНС»</v>
      </c>
      <c r="AA155" t="str">
        <f ca="1">IFERROR(__xludf.DUMMYFUNCTION("""COMPUTED_VALUE"""),"12-9790")</f>
        <v>12-9790</v>
      </c>
      <c r="AB155" t="str">
        <f ca="1">IFERROR(__xludf.DUMMYFUNCTION("""COMPUTED_VALUE"""),"45 ПРИДН")</f>
        <v>45 ПРИДН</v>
      </c>
      <c r="AC155" t="str">
        <f ca="1">IFERROR(__xludf.DUMMYFUNCTION("""COMPUTED_VALUE"""),"46300 ПОЛОГИ")</f>
        <v>46300 ПОЛОГИ</v>
      </c>
      <c r="AD155" t="str">
        <f ca="1">IFERROR(__xludf.DUMMYFUNCTION("""COMPUTED_VALUE"""),"01.10.18 11-04")</f>
        <v>01.10.18 11-04</v>
      </c>
      <c r="AE155" t="str">
        <f ca="1">IFERROR(__xludf.DUMMYFUNCTION("""COMPUTED_VALUE"""),"570 ИCТEК КAЛЕНДАРНЫЙ CPOК ДEПOВCКОГО PEМOНТA")</f>
        <v>570 ИCТEК КAЛЕНДАРНЫЙ CPOК ДEПOВCКОГО PEМOНТA</v>
      </c>
      <c r="AF155" t="str">
        <f ca="1">IFERROR(__xludf.DUMMYFUNCTION("""COMPUTED_VALUE"""),"45 ПРИДН")</f>
        <v>45 ПРИДН</v>
      </c>
      <c r="AG155" t="str">
        <f ca="1">IFERROR(__xludf.DUMMYFUNCTION("""COMPUTED_VALUE"""),"46300 ПОЛОГИ")</f>
        <v>46300 ПОЛОГИ</v>
      </c>
      <c r="AH155" t="str">
        <f ca="1">IFERROR(__xludf.DUMMYFUNCTION("""COMPUTED_VALUE"""),"02.10.18 15-55")</f>
        <v>02.10.18 15-55</v>
      </c>
      <c r="AI155" s="21">
        <f ca="1">IFERROR(__xludf.DUMMYFUNCTION("""COMPUTED_VALUE"""),44420.3576736111)</f>
        <v>44420.357673611099</v>
      </c>
    </row>
    <row r="156" spans="1:35" ht="13" x14ac:dyDescent="0.15">
      <c r="A156">
        <f ca="1">IFERROR(__xludf.DUMMYFUNCTION("""COMPUTED_VALUE"""),517)</f>
        <v>517</v>
      </c>
      <c r="B156" t="str">
        <f ca="1">IFERROR(__xludf.DUMMYFUNCTION("""COMPUTED_VALUE"""),"Техрейс")</f>
        <v>Техрейс</v>
      </c>
      <c r="C156" t="str">
        <f ca="1">IFERROR(__xludf.DUMMYFUNCTION("""COMPUTED_VALUE"""),"Аурум Транс")</f>
        <v>Аурум Транс</v>
      </c>
      <c r="D156">
        <f ca="1">IFERROR(__xludf.DUMMYFUNCTION("""COMPUTED_VALUE"""),61034112)</f>
        <v>61034112</v>
      </c>
      <c r="E156" t="str">
        <f ca="1">IFERROR(__xludf.DUMMYFUNCTION("""COMPUTED_VALUE"""),"60 ПОЛУВАГОНЫ")</f>
        <v>60 ПОЛУВАГОНЫ</v>
      </c>
      <c r="F156">
        <f ca="1">IFERROR(__xludf.DUMMYFUNCTION("""COMPUTED_VALUE"""),24133)</f>
        <v>24133</v>
      </c>
      <c r="G156" t="str">
        <f ca="1">IFERROR(__xludf.DUMMYFUNCTION("""COMPUTED_VALUE"""),"КАМЕНЬ ИЗВЕСТ")</f>
        <v>КАМЕНЬ ИЗВЕСТ</v>
      </c>
      <c r="H156">
        <f ca="1">IFERROR(__xludf.DUMMYFUNCTION("""COMPUTED_VALUE"""),69)</f>
        <v>69</v>
      </c>
      <c r="I156">
        <f ca="1">IFERROR(__xludf.DUMMYFUNCTION("""COMPUTED_VALUE"""),4269)</f>
        <v>4269</v>
      </c>
      <c r="J156" t="str">
        <f ca="1">IFERROR(__xludf.DUMMYFUNCTION("""COMPUTED_VALUE"""),"3102 (33310-037-33060) НЕГИН - ГРЕЧАНЫ")</f>
        <v>3102 (33310-037-33060) НЕГИН - ГРЕЧАНЫ</v>
      </c>
      <c r="K156">
        <f ca="1">IFERROR(__xludf.DUMMYFUNCTION("""COMPUTED_VALUE"""),33060)</f>
        <v>33060</v>
      </c>
      <c r="L156" t="str">
        <f ca="1">IFERROR(__xludf.DUMMYFUNCTION("""COMPUTED_VALUE"""),"ГРЕЧАНЫ")</f>
        <v>ГРЕЧАНЫ</v>
      </c>
      <c r="M156" t="str">
        <f ca="1">IFERROR(__xludf.DUMMYFUNCTION("""COMPUTED_VALUE"""),"12.08.21 07-52")</f>
        <v>12.08.21 07-52</v>
      </c>
      <c r="N156" t="str">
        <f ca="1">IFERROR(__xludf.DUMMYFUNCTION("""COMPUTED_VALUE"""),"51 ПРИБ")</f>
        <v>51 ПРИБ</v>
      </c>
      <c r="O156">
        <f ca="1">IFERROR(__xludf.DUMMYFUNCTION("""COMPUTED_VALUE"""),33870)</f>
        <v>33870</v>
      </c>
      <c r="P156" t="str">
        <f ca="1">IFERROR(__xludf.DUMMYFUNCTION("""COMPUTED_VALUE"""),"ТЕТИЕВ")</f>
        <v>ТЕТИЕВ</v>
      </c>
      <c r="Q156">
        <f ca="1">IFERROR(__xludf.DUMMYFUNCTION("""COMPUTED_VALUE"""),33310)</f>
        <v>33310</v>
      </c>
      <c r="R156" t="str">
        <f ca="1">IFERROR(__xludf.DUMMYFUNCTION("""COMPUTED_VALUE"""),"НЕГИН")</f>
        <v>НЕГИН</v>
      </c>
      <c r="S156" t="str">
        <f ca="1">IFERROR(__xludf.DUMMYFUNCTION("""COMPUTED_VALUE"""),"11.08.21 19-05")</f>
        <v>11.08.21 19-05</v>
      </c>
      <c r="T156">
        <f ca="1">IFERROR(__xludf.DUMMYFUNCTION("""COMPUTED_VALUE"""),2220)</f>
        <v>2220</v>
      </c>
      <c r="U156" t="str">
        <f ca="1">IFERROR(__xludf.DUMMYFUNCTION("""COMPUTED_VALUE"""),"30.07.2024 КР")</f>
        <v>30.07.2024 КР</v>
      </c>
      <c r="Z156" t="str">
        <f ca="1">IFERROR(__xludf.DUMMYFUNCTION("""COMPUTED_VALUE"""),"ООО «АУРУМ ТРАНС»")</f>
        <v>ООО «АУРУМ ТРАНС»</v>
      </c>
      <c r="AA156" t="str">
        <f ca="1">IFERROR(__xludf.DUMMYFUNCTION("""COMPUTED_VALUE"""),"12-9790")</f>
        <v>12-9790</v>
      </c>
      <c r="AB156" t="str">
        <f ca="1">IFERROR(__xludf.DUMMYFUNCTION("""COMPUTED_VALUE"""),"32 Ю-ЗАП")</f>
        <v>32 Ю-ЗАП</v>
      </c>
      <c r="AC156" t="str">
        <f ca="1">IFERROR(__xludf.DUMMYFUNCTION("""COMPUTED_VALUE"""),"33000 ЖМЕРИНКА")</f>
        <v>33000 ЖМЕРИНКА</v>
      </c>
      <c r="AD156" t="str">
        <f ca="1">IFERROR(__xludf.DUMMYFUNCTION("""COMPUTED_VALUE"""),"24.07.21 16-46")</f>
        <v>24.07.21 16-46</v>
      </c>
      <c r="AE156" t="str">
        <f ca="1">IFERROR(__xludf.DUMMYFUNCTION("""COMPUTED_VALUE"""),"570 ИCТEК КAЛЕНДАРНЫЙ CPOК ДEПOВCКОГО PEМOНТA")</f>
        <v>570 ИCТEК КAЛЕНДАРНЫЙ CPOК ДEПOВCКОГО PEМOНТA</v>
      </c>
      <c r="AF156" t="str">
        <f ca="1">IFERROR(__xludf.DUMMYFUNCTION("""COMPUTED_VALUE"""),"32 Ю-ЗАП")</f>
        <v>32 Ю-ЗАП</v>
      </c>
      <c r="AG156" t="str">
        <f ca="1">IFERROR(__xludf.DUMMYFUNCTION("""COMPUTED_VALUE"""),"33000 ЖМЕРИНКА")</f>
        <v>33000 ЖМЕРИНКА</v>
      </c>
      <c r="AH156" t="str">
        <f ca="1">IFERROR(__xludf.DUMMYFUNCTION("""COMPUTED_VALUE"""),"30.07.21 15-51")</f>
        <v>30.07.21 15-51</v>
      </c>
      <c r="AI156" s="21">
        <f ca="1">IFERROR(__xludf.DUMMYFUNCTION("""COMPUTED_VALUE"""),44420.3576736111)</f>
        <v>44420.357673611099</v>
      </c>
    </row>
    <row r="157" spans="1:35" ht="13" x14ac:dyDescent="0.15">
      <c r="A157">
        <f ca="1">IFERROR(__xludf.DUMMYFUNCTION("""COMPUTED_VALUE"""),519)</f>
        <v>519</v>
      </c>
      <c r="B157" t="str">
        <f ca="1">IFERROR(__xludf.DUMMYFUNCTION("""COMPUTED_VALUE"""),"Лидер")</f>
        <v>Лидер</v>
      </c>
      <c r="C157" t="str">
        <f ca="1">IFERROR(__xludf.DUMMYFUNCTION("""COMPUTED_VALUE"""),"Аурум Транс")</f>
        <v>Аурум Транс</v>
      </c>
      <c r="D157">
        <f ca="1">IFERROR(__xludf.DUMMYFUNCTION("""COMPUTED_VALUE"""),61033957)</f>
        <v>61033957</v>
      </c>
      <c r="E157" t="str">
        <f ca="1">IFERROR(__xludf.DUMMYFUNCTION("""COMPUTED_VALUE"""),"60 ПОЛУВАГОНЫ")</f>
        <v>60 ПОЛУВАГОНЫ</v>
      </c>
      <c r="F157">
        <f ca="1">IFERROR(__xludf.DUMMYFUNCTION("""COMPUTED_VALUE"""),42103)</f>
        <v>42103</v>
      </c>
      <c r="G157" t="str">
        <f ca="1">IFERROR(__xludf.DUMMYFUNCTION("""COMPUTED_VALUE"""),"ВАГОНЫ ЖД СВ")</f>
        <v>ВАГОНЫ ЖД СВ</v>
      </c>
      <c r="H157">
        <f ca="1">IFERROR(__xludf.DUMMYFUNCTION("""COMPUTED_VALUE"""),70)</f>
        <v>70</v>
      </c>
      <c r="I157">
        <f ca="1">IFERROR(__xludf.DUMMYFUNCTION("""COMPUTED_VALUE"""),1727)</f>
        <v>1727</v>
      </c>
      <c r="J157" t="str">
        <f ca="1">IFERROR(__xludf.DUMMYFUNCTION("""COMPUTED_VALUE"""),"3202 (35130-011-35400) ЯГОДИН - КОВЕЛЬ")</f>
        <v>3202 (35130-011-35400) ЯГОДИН - КОВЕЛЬ</v>
      </c>
      <c r="K157">
        <f ca="1">IFERROR(__xludf.DUMMYFUNCTION("""COMPUTED_VALUE"""),35400)</f>
        <v>35400</v>
      </c>
      <c r="L157" t="str">
        <f ca="1">IFERROR(__xludf.DUMMYFUNCTION("""COMPUTED_VALUE"""),"КОВЕЛЬ")</f>
        <v>КОВЕЛЬ</v>
      </c>
      <c r="M157" t="str">
        <f ca="1">IFERROR(__xludf.DUMMYFUNCTION("""COMPUTED_VALUE"""),"12.08.21 04-07")</f>
        <v>12.08.21 04-07</v>
      </c>
      <c r="N157" t="str">
        <f ca="1">IFERROR(__xludf.DUMMYFUNCTION("""COMPUTED_VALUE"""),"72 ОТЦ")</f>
        <v>72 ОТЦ</v>
      </c>
      <c r="O157">
        <f ca="1">IFERROR(__xludf.DUMMYFUNCTION("""COMPUTED_VALUE"""),35050)</f>
        <v>35050</v>
      </c>
      <c r="P157" t="str">
        <f ca="1">IFERROR(__xludf.DUMMYFUNCTION("""COMPUTED_VALUE"""),"КРЕМЕНЕЦ")</f>
        <v>КРЕМЕНЕЦ</v>
      </c>
      <c r="Q157">
        <f ca="1">IFERROR(__xludf.DUMMYFUNCTION("""COMPUTED_VALUE"""),49480)</f>
        <v>49480</v>
      </c>
      <c r="R157" t="str">
        <f ca="1">IFERROR(__xludf.DUMMYFUNCTION("""COMPUTED_VALUE"""),"СОЛЬ")</f>
        <v>СОЛЬ</v>
      </c>
      <c r="S157" t="str">
        <f ca="1">IFERROR(__xludf.DUMMYFUNCTION("""COMPUTED_VALUE"""),"04.08.21 11-50")</f>
        <v>04.08.21 11-50</v>
      </c>
      <c r="T157">
        <f ca="1">IFERROR(__xludf.DUMMYFUNCTION("""COMPUTED_VALUE"""),0)</f>
        <v>0</v>
      </c>
      <c r="U157" t="str">
        <f ca="1">IFERROR(__xludf.DUMMYFUNCTION("""COMPUTED_VALUE"""),"29.07.2024 КР")</f>
        <v>29.07.2024 КР</v>
      </c>
      <c r="Z157" t="str">
        <f ca="1">IFERROR(__xludf.DUMMYFUNCTION("""COMPUTED_VALUE"""),"ООО «АУРУМ ТРАНС»")</f>
        <v>ООО «АУРУМ ТРАНС»</v>
      </c>
      <c r="AA157" t="str">
        <f ca="1">IFERROR(__xludf.DUMMYFUNCTION("""COMPUTED_VALUE"""),"12-9790")</f>
        <v>12-9790</v>
      </c>
      <c r="AB157" t="str">
        <f ca="1">IFERROR(__xludf.DUMMYFUNCTION("""COMPUTED_VALUE"""),"48 ДОН")</f>
        <v>48 ДОН</v>
      </c>
      <c r="AC157" t="str">
        <f ca="1">IFERROR(__xludf.DUMMYFUNCTION("""COMPUTED_VALUE"""),"49870 РУБЕЖНОЕ")</f>
        <v>49870 РУБЕЖНОЕ</v>
      </c>
      <c r="AD157" t="str">
        <f ca="1">IFERROR(__xludf.DUMMYFUNCTION("""COMPUTED_VALUE"""),"19.07.21 09-49")</f>
        <v>19.07.21 09-49</v>
      </c>
      <c r="AE157" t="str">
        <f ca="1">IFERROR(__xludf.DUMMYFUNCTION("""COMPUTED_VALUE"""),"570 ИCТEК КAЛЕНДАРНЫЙ CPOК ДEПOВCКОГО PEМOНТA")</f>
        <v>570 ИCТEК КAЛЕНДАРНЫЙ CPOК ДEПOВCКОГО PEМOНТA</v>
      </c>
      <c r="AF157" t="str">
        <f ca="1">IFERROR(__xludf.DUMMYFUNCTION("""COMPUTED_VALUE"""),"48 ДОН")</f>
        <v>48 ДОН</v>
      </c>
      <c r="AG157" t="str">
        <f ca="1">IFERROR(__xludf.DUMMYFUNCTION("""COMPUTED_VALUE"""),"49870 РУБЕЖНОЕ")</f>
        <v>49870 РУБЕЖНОЕ</v>
      </c>
      <c r="AH157" t="str">
        <f ca="1">IFERROR(__xludf.DUMMYFUNCTION("""COMPUTED_VALUE"""),"29.07.21 15-50")</f>
        <v>29.07.21 15-50</v>
      </c>
      <c r="AI157" s="21">
        <f ca="1">IFERROR(__xludf.DUMMYFUNCTION("""COMPUTED_VALUE"""),44420.3576736111)</f>
        <v>44420.357673611099</v>
      </c>
    </row>
    <row r="158" spans="1:35" ht="13" x14ac:dyDescent="0.15">
      <c r="A158">
        <f ca="1">IFERROR(__xludf.DUMMYFUNCTION("""COMPUTED_VALUE"""),578)</f>
        <v>578</v>
      </c>
      <c r="B158" t="str">
        <f ca="1">IFERROR(__xludf.DUMMYFUNCTION("""COMPUTED_VALUE"""),"Лидер")</f>
        <v>Лидер</v>
      </c>
      <c r="C158" t="str">
        <f ca="1">IFERROR(__xludf.DUMMYFUNCTION("""COMPUTED_VALUE"""),"Аурум Транс")</f>
        <v>Аурум Транс</v>
      </c>
      <c r="D158">
        <f ca="1">IFERROR(__xludf.DUMMYFUNCTION("""COMPUTED_VALUE"""),55084271)</f>
        <v>55084271</v>
      </c>
      <c r="E158" t="str">
        <f ca="1">IFERROR(__xludf.DUMMYFUNCTION("""COMPUTED_VALUE"""),"60 ПОЛУВАГОНЫ")</f>
        <v>60 ПОЛУВАГОНЫ</v>
      </c>
      <c r="F158">
        <f ca="1">IFERROR(__xludf.DUMMYFUNCTION("""COMPUTED_VALUE"""),42103)</f>
        <v>42103</v>
      </c>
      <c r="G158" t="str">
        <f ca="1">IFERROR(__xludf.DUMMYFUNCTION("""COMPUTED_VALUE"""),"ВАГОНЫ ЖД СВ")</f>
        <v>ВАГОНЫ ЖД СВ</v>
      </c>
      <c r="H158">
        <f ca="1">IFERROR(__xludf.DUMMYFUNCTION("""COMPUTED_VALUE"""),0)</f>
        <v>0</v>
      </c>
      <c r="I158">
        <f ca="1">IFERROR(__xludf.DUMMYFUNCTION("""COMPUTED_VALUE"""),3437)</f>
        <v>3437</v>
      </c>
      <c r="J158" t="str">
        <f ca="1">IFERROR(__xludf.DUMMYFUNCTION("""COMPUTED_VALUE"""),"2001 (34640-714-34630) КОРОСТ-ПОДОЛ - КОРОСТЕНЬ")</f>
        <v>2001 (34640-714-34630) КОРОСТ-ПОДОЛ - КОРОСТЕНЬ</v>
      </c>
      <c r="K158">
        <f ca="1">IFERROR(__xludf.DUMMYFUNCTION("""COMPUTED_VALUE"""),34750)</f>
        <v>34750</v>
      </c>
      <c r="L158" t="str">
        <f ca="1">IFERROR(__xludf.DUMMYFUNCTION("""COMPUTED_VALUE"""),"ПЕНИЗЕВИЧИ")</f>
        <v>ПЕНИЗЕВИЧИ</v>
      </c>
      <c r="M158" t="str">
        <f ca="1">IFERROR(__xludf.DUMMYFUNCTION("""COMPUTED_VALUE"""),"11.08.21 04-25")</f>
        <v>11.08.21 04-25</v>
      </c>
      <c r="N158" t="str">
        <f ca="1">IFERROR(__xludf.DUMMYFUNCTION("""COMPUTED_VALUE"""),"98 ОТОТ")</f>
        <v>98 ОТОТ</v>
      </c>
      <c r="O158">
        <f ca="1">IFERROR(__xludf.DUMMYFUNCTION("""COMPUTED_VALUE"""),34750)</f>
        <v>34750</v>
      </c>
      <c r="P158" t="str">
        <f ca="1">IFERROR(__xludf.DUMMYFUNCTION("""COMPUTED_VALUE"""),"ПЕНИЗЕВИЧИ")</f>
        <v>ПЕНИЗЕВИЧИ</v>
      </c>
      <c r="Q158">
        <f ca="1">IFERROR(__xludf.DUMMYFUNCTION("""COMPUTED_VALUE"""),36240)</f>
        <v>36240</v>
      </c>
      <c r="R158" t="str">
        <f ca="1">IFERROR(__xludf.DUMMYFUNCTION("""COMPUTED_VALUE"""),"КОЗОВА")</f>
        <v>КОЗОВА</v>
      </c>
      <c r="S158" t="str">
        <f ca="1">IFERROR(__xludf.DUMMYFUNCTION("""COMPUTED_VALUE"""),"04.08.21 03-30")</f>
        <v>04.08.21 03-30</v>
      </c>
      <c r="T158">
        <f ca="1">IFERROR(__xludf.DUMMYFUNCTION("""COMPUTED_VALUE"""),5133)</f>
        <v>5133</v>
      </c>
      <c r="U158" t="str">
        <f ca="1">IFERROR(__xludf.DUMMYFUNCTION("""COMPUTED_VALUE"""),"24.12.2023 ДР")</f>
        <v>24.12.2023 ДР</v>
      </c>
      <c r="Z158" t="str">
        <f ca="1">IFERROR(__xludf.DUMMYFUNCTION("""COMPUTED_VALUE"""),"ООО «АУРУМ ТРАНС»")</f>
        <v>ООО «АУРУМ ТРАНС»</v>
      </c>
      <c r="AA158" t="str">
        <f ca="1">IFERROR(__xludf.DUMMYFUNCTION("""COMPUTED_VALUE"""),"12-9790")</f>
        <v>12-9790</v>
      </c>
      <c r="AB158" t="str">
        <f ca="1">IFERROR(__xludf.DUMMYFUNCTION("""COMPUTED_VALUE"""),"45 ПРИДН")</f>
        <v>45 ПРИДН</v>
      </c>
      <c r="AC158" t="str">
        <f ca="1">IFERROR(__xludf.DUMMYFUNCTION("""COMPUTED_VALUE"""),"46710 КРИВ.РОГ-СОР")</f>
        <v>46710 КРИВ.РОГ-СОР</v>
      </c>
      <c r="AD158" t="str">
        <f ca="1">IFERROR(__xludf.DUMMYFUNCTION("""COMPUTED_VALUE"""),"17.12.20 13-37")</f>
        <v>17.12.20 13-37</v>
      </c>
      <c r="AE158" t="str">
        <f ca="1">IFERROR(__xludf.DUMMYFUNCTION("""COMPUTED_VALUE"""),"571 ИCТEК КAЛЕНДАРНЫЙ CPOК КAПИТAЛЬНОГО PEМOНТA")</f>
        <v>571 ИCТEК КAЛЕНДАРНЫЙ CPOК КAПИТAЛЬНОГО PEМOНТA</v>
      </c>
      <c r="AF158" t="str">
        <f ca="1">IFERROR(__xludf.DUMMYFUNCTION("""COMPUTED_VALUE"""),"45 ПРИДН")</f>
        <v>45 ПРИДН</v>
      </c>
      <c r="AG158" t="str">
        <f ca="1">IFERROR(__xludf.DUMMYFUNCTION("""COMPUTED_VALUE"""),"46710 КРИВ.РОГ-СОР")</f>
        <v>46710 КРИВ.РОГ-СОР</v>
      </c>
      <c r="AH158" t="str">
        <f ca="1">IFERROR(__xludf.DUMMYFUNCTION("""COMPUTED_VALUE"""),"24.12.20 13-02")</f>
        <v>24.12.20 13-02</v>
      </c>
      <c r="AI158" s="21">
        <f ca="1">IFERROR(__xludf.DUMMYFUNCTION("""COMPUTED_VALUE"""),44420.3576736111)</f>
        <v>44420.357673611099</v>
      </c>
    </row>
    <row r="159" spans="1:35" ht="13" x14ac:dyDescent="0.15">
      <c r="A159">
        <f ca="1">IFERROR(__xludf.DUMMYFUNCTION("""COMPUTED_VALUE"""),580)</f>
        <v>580</v>
      </c>
      <c r="B159" t="str">
        <f ca="1">IFERROR(__xludf.DUMMYFUNCTION("""COMPUTED_VALUE"""),"Техрейс")</f>
        <v>Техрейс</v>
      </c>
      <c r="C159" t="str">
        <f ca="1">IFERROR(__xludf.DUMMYFUNCTION("""COMPUTED_VALUE"""),"Аурум Транс")</f>
        <v>Аурум Транс</v>
      </c>
      <c r="D159">
        <f ca="1">IFERROR(__xludf.DUMMYFUNCTION("""COMPUTED_VALUE"""),55388730)</f>
        <v>55388730</v>
      </c>
      <c r="E159" t="str">
        <f ca="1">IFERROR(__xludf.DUMMYFUNCTION("""COMPUTED_VALUE"""),"60 ПОЛУВАГОНЫ")</f>
        <v>60 ПОЛУВАГОНЫ</v>
      </c>
      <c r="F159">
        <f ca="1">IFERROR(__xludf.DUMMYFUNCTION("""COMPUTED_VALUE"""),14109)</f>
        <v>14109</v>
      </c>
      <c r="G159" t="str">
        <f ca="1">IFERROR(__xludf.DUMMYFUNCTION("""COMPUTED_VALUE"""),"ГЕМАТИТ")</f>
        <v>ГЕМАТИТ</v>
      </c>
      <c r="H159">
        <f ca="1">IFERROR(__xludf.DUMMYFUNCTION("""COMPUTED_VALUE"""),70)</f>
        <v>70</v>
      </c>
      <c r="I159">
        <f ca="1">IFERROR(__xludf.DUMMYFUNCTION("""COMPUTED_VALUE"""),5786)</f>
        <v>5786</v>
      </c>
      <c r="J159" t="str">
        <f ca="1">IFERROR(__xludf.DUMMYFUNCTION("""COMPUTED_VALUE"""),"1615 (46720-457-40060) КРИВОЙ РОГ - БЕРЕГОВАЯ-Э")</f>
        <v>1615 (46720-457-40060) КРИВОЙ РОГ - БЕРЕГОВАЯ-Э</v>
      </c>
      <c r="K159">
        <f ca="1">IFERROR(__xludf.DUMMYFUNCTION("""COMPUTED_VALUE"""),46800)</f>
        <v>46800</v>
      </c>
      <c r="L159" t="str">
        <f ca="1">IFERROR(__xludf.DUMMYFUNCTION("""COMPUTED_VALUE"""),"ВИСУНЬ")</f>
        <v>ВИСУНЬ</v>
      </c>
      <c r="M159" t="str">
        <f ca="1">IFERROR(__xludf.DUMMYFUNCTION("""COMPUTED_VALUE"""),"12.08.21 08-15")</f>
        <v>12.08.21 08-15</v>
      </c>
      <c r="N159" t="str">
        <f ca="1">IFERROR(__xludf.DUMMYFUNCTION("""COMPUTED_VALUE"""),"02 ОТПР")</f>
        <v>02 ОТПР</v>
      </c>
      <c r="O159">
        <f ca="1">IFERROR(__xludf.DUMMYFUNCTION("""COMPUTED_VALUE"""),40060)</f>
        <v>40060</v>
      </c>
      <c r="P159" t="str">
        <f ca="1">IFERROR(__xludf.DUMMYFUNCTION("""COMPUTED_VALUE"""),"БЕРЕГОВАЯ-Э")</f>
        <v>БЕРЕГОВАЯ-Э</v>
      </c>
      <c r="Q159">
        <f ca="1">IFERROR(__xludf.DUMMYFUNCTION("""COMPUTED_VALUE"""),46720)</f>
        <v>46720</v>
      </c>
      <c r="R159" t="str">
        <f ca="1">IFERROR(__xludf.DUMMYFUNCTION("""COMPUTED_VALUE"""),"КРИВОЙ РОГ")</f>
        <v>КРИВОЙ РОГ</v>
      </c>
      <c r="S159" t="str">
        <f ca="1">IFERROR(__xludf.DUMMYFUNCTION("""COMPUTED_VALUE"""),"11.08.21 18-30")</f>
        <v>11.08.21 18-30</v>
      </c>
      <c r="T159">
        <f ca="1">IFERROR(__xludf.DUMMYFUNCTION("""COMPUTED_VALUE"""),5343)</f>
        <v>5343</v>
      </c>
      <c r="U159" t="str">
        <f ca="1">IFERROR(__xludf.DUMMYFUNCTION("""COMPUTED_VALUE"""),"20.01.2022 КР")</f>
        <v>20.01.2022 КР</v>
      </c>
      <c r="Z159" t="str">
        <f ca="1">IFERROR(__xludf.DUMMYFUNCTION("""COMPUTED_VALUE"""),"ООО «АУРУМ ТРАНС»")</f>
        <v>ООО «АУРУМ ТРАНС»</v>
      </c>
      <c r="AA159" t="str">
        <f ca="1">IFERROR(__xludf.DUMMYFUNCTION("""COMPUTED_VALUE"""),"12-783")</f>
        <v>12-783</v>
      </c>
      <c r="AB159" t="str">
        <f ca="1">IFERROR(__xludf.DUMMYFUNCTION("""COMPUTED_VALUE"""),"48 ДОН")</f>
        <v>48 ДОН</v>
      </c>
      <c r="AC159" t="str">
        <f ca="1">IFERROR(__xludf.DUMMYFUNCTION("""COMPUTED_VALUE"""),"48200 ПОКРОВСК")</f>
        <v>48200 ПОКРОВСК</v>
      </c>
      <c r="AD159" t="str">
        <f ca="1">IFERROR(__xludf.DUMMYFUNCTION("""COMPUTED_VALUE"""),"12.12.20 14-00")</f>
        <v>12.12.20 14-00</v>
      </c>
      <c r="AE159" t="str">
        <f ca="1">IFERROR(__xludf.DUMMYFUNCTION("""COMPUTED_VALUE"""),"445 ЗAВAP БAШМAКA")</f>
        <v>445 ЗAВAP БAШМAКA</v>
      </c>
      <c r="AF159" t="str">
        <f ca="1">IFERROR(__xludf.DUMMYFUNCTION("""COMPUTED_VALUE"""),"48 ДОН")</f>
        <v>48 ДОН</v>
      </c>
      <c r="AG159" t="str">
        <f ca="1">IFERROR(__xludf.DUMMYFUNCTION("""COMPUTED_VALUE"""),"48200 ПОКРОВСК")</f>
        <v>48200 ПОКРОВСК</v>
      </c>
      <c r="AH159" t="str">
        <f ca="1">IFERROR(__xludf.DUMMYFUNCTION("""COMPUTED_VALUE"""),"13.12.20 16-00")</f>
        <v>13.12.20 16-00</v>
      </c>
      <c r="AI159" s="21">
        <f ca="1">IFERROR(__xludf.DUMMYFUNCTION("""COMPUTED_VALUE"""),44420.3576736111)</f>
        <v>44420.357673611099</v>
      </c>
    </row>
    <row r="160" spans="1:35" ht="13" x14ac:dyDescent="0.15">
      <c r="A160">
        <f ca="1">IFERROR(__xludf.DUMMYFUNCTION("""COMPUTED_VALUE"""),581)</f>
        <v>581</v>
      </c>
      <c r="B160" t="str">
        <f ca="1">IFERROR(__xludf.DUMMYFUNCTION("""COMPUTED_VALUE"""),"Техрейс")</f>
        <v>Техрейс</v>
      </c>
      <c r="C160" t="str">
        <f ca="1">IFERROR(__xludf.DUMMYFUNCTION("""COMPUTED_VALUE"""),"Аурум Транс")</f>
        <v>Аурум Транс</v>
      </c>
      <c r="D160">
        <f ca="1">IFERROR(__xludf.DUMMYFUNCTION("""COMPUTED_VALUE"""),61033965)</f>
        <v>61033965</v>
      </c>
      <c r="E160" t="str">
        <f ca="1">IFERROR(__xludf.DUMMYFUNCTION("""COMPUTED_VALUE"""),"60 ПОЛУВАГОНЫ")</f>
        <v>60 ПОЛУВАГОНЫ</v>
      </c>
      <c r="F160">
        <f ca="1">IFERROR(__xludf.DUMMYFUNCTION("""COMPUTED_VALUE"""),24132)</f>
        <v>24132</v>
      </c>
      <c r="G160" t="str">
        <f ca="1">IFERROR(__xludf.DUMMYFUNCTION("""COMPUTED_VALUE"""),"КАМЕНЬ ГИПСОВ")</f>
        <v>КАМЕНЬ ГИПСОВ</v>
      </c>
      <c r="H160">
        <f ca="1">IFERROR(__xludf.DUMMYFUNCTION("""COMPUTED_VALUE"""),70)</f>
        <v>70</v>
      </c>
      <c r="I160">
        <f ca="1">IFERROR(__xludf.DUMMYFUNCTION("""COMPUTED_VALUE"""),3203)</f>
        <v>3203</v>
      </c>
      <c r="J160" t="str">
        <f ca="1">IFERROR(__xludf.DUMMYFUNCTION("""COMPUTED_VALUE"""),"9507 (49000-770-41510) ЛИМАН - НИКОЛАЕВ")</f>
        <v>9507 (49000-770-41510) ЛИМАН - НИКОЛАЕВ</v>
      </c>
      <c r="K160">
        <f ca="1">IFERROR(__xludf.DUMMYFUNCTION("""COMPUTED_VALUE"""),45000)</f>
        <v>45000</v>
      </c>
      <c r="L160" t="str">
        <f ca="1">IFERROR(__xludf.DUMMYFUNCTION("""COMPUTED_VALUE"""),"НИЖНЕДН-УЗЕЛ")</f>
        <v>НИЖНЕДН-УЗЕЛ</v>
      </c>
      <c r="M160" t="str">
        <f ca="1">IFERROR(__xludf.DUMMYFUNCTION("""COMPUTED_VALUE"""),"12.08.21 08-15")</f>
        <v>12.08.21 08-15</v>
      </c>
      <c r="N160" t="str">
        <f ca="1">IFERROR(__xludf.DUMMYFUNCTION("""COMPUTED_VALUE"""),"51 ПРИБ")</f>
        <v>51 ПРИБ</v>
      </c>
      <c r="O160">
        <f ca="1">IFERROR(__xludf.DUMMYFUNCTION("""COMPUTED_VALUE"""),41680)</f>
        <v>41680</v>
      </c>
      <c r="P160" t="str">
        <f ca="1">IFERROR(__xludf.DUMMYFUNCTION("""COMPUTED_VALUE"""),"КАХОВКА")</f>
        <v>КАХОВКА</v>
      </c>
      <c r="Q160">
        <f ca="1">IFERROR(__xludf.DUMMYFUNCTION("""COMPUTED_VALUE"""),49480)</f>
        <v>49480</v>
      </c>
      <c r="R160" t="str">
        <f ca="1">IFERROR(__xludf.DUMMYFUNCTION("""COMPUTED_VALUE"""),"СОЛЬ")</f>
        <v>СОЛЬ</v>
      </c>
      <c r="S160" t="str">
        <f ca="1">IFERROR(__xludf.DUMMYFUNCTION("""COMPUTED_VALUE"""),"10.08.21 02-25")</f>
        <v>10.08.21 02-25</v>
      </c>
      <c r="T160">
        <f ca="1">IFERROR(__xludf.DUMMYFUNCTION("""COMPUTED_VALUE"""),5377)</f>
        <v>5377</v>
      </c>
      <c r="U160" t="str">
        <f ca="1">IFERROR(__xludf.DUMMYFUNCTION("""COMPUTED_VALUE"""),"23.07.2023 ДР")</f>
        <v>23.07.2023 ДР</v>
      </c>
      <c r="Z160" t="str">
        <f ca="1">IFERROR(__xludf.DUMMYFUNCTION("""COMPUTED_VALUE"""),"ООО «АУРУМ ТРАНС»")</f>
        <v>ООО «АУРУМ ТРАНС»</v>
      </c>
      <c r="AA160" t="str">
        <f ca="1">IFERROR(__xludf.DUMMYFUNCTION("""COMPUTED_VALUE"""),"12-9790")</f>
        <v>12-9790</v>
      </c>
      <c r="AB160" t="str">
        <f ca="1">IFERROR(__xludf.DUMMYFUNCTION("""COMPUTED_VALUE"""),"45 ПРИДН")</f>
        <v>45 ПРИДН</v>
      </c>
      <c r="AC160" t="str">
        <f ca="1">IFERROR(__xludf.DUMMYFUNCTION("""COMPUTED_VALUE"""),"46710 КРИВ.РОГ-СОР")</f>
        <v>46710 КРИВ.РОГ-СОР</v>
      </c>
      <c r="AD160" t="str">
        <f ca="1">IFERROR(__xludf.DUMMYFUNCTION("""COMPUTED_VALUE"""),"22.06.21 14-37")</f>
        <v>22.06.21 14-37</v>
      </c>
      <c r="AE160" t="str">
        <f ca="1">IFERROR(__xludf.DUMMYFUNCTION("""COMPUTED_VALUE"""),"570 ИCТEК КAЛЕНДАРНЫЙ CPOК ДEПOВCКОГО PEМOНТA")</f>
        <v>570 ИCТEК КAЛЕНДАРНЫЙ CPOК ДEПOВCКОГО PEМOНТA</v>
      </c>
      <c r="AF160" t="str">
        <f ca="1">IFERROR(__xludf.DUMMYFUNCTION("""COMPUTED_VALUE"""),"45 ПРИДН")</f>
        <v>45 ПРИДН</v>
      </c>
      <c r="AG160" t="str">
        <f ca="1">IFERROR(__xludf.DUMMYFUNCTION("""COMPUTED_VALUE"""),"46710 КРИВ.РОГ-СОР")</f>
        <v>46710 КРИВ.РОГ-СОР</v>
      </c>
      <c r="AH160" t="str">
        <f ca="1">IFERROR(__xludf.DUMMYFUNCTION("""COMPUTED_VALUE"""),"23.07.21 12-30")</f>
        <v>23.07.21 12-30</v>
      </c>
      <c r="AI160" s="21">
        <f ca="1">IFERROR(__xludf.DUMMYFUNCTION("""COMPUTED_VALUE"""),44420.3576736111)</f>
        <v>44420.357673611099</v>
      </c>
    </row>
    <row r="161" spans="1:35" ht="13" x14ac:dyDescent="0.15">
      <c r="A161">
        <f ca="1">IFERROR(__xludf.DUMMYFUNCTION("""COMPUTED_VALUE"""),583)</f>
        <v>583</v>
      </c>
      <c r="B161" t="str">
        <f ca="1">IFERROR(__xludf.DUMMYFUNCTION("""COMPUTED_VALUE"""),"Техрейс")</f>
        <v>Техрейс</v>
      </c>
      <c r="C161" t="str">
        <f ca="1">IFERROR(__xludf.DUMMYFUNCTION("""COMPUTED_VALUE"""),"Аурум Транс")</f>
        <v>Аурум Транс</v>
      </c>
      <c r="D161">
        <f ca="1">IFERROR(__xludf.DUMMYFUNCTION("""COMPUTED_VALUE"""),61034831)</f>
        <v>61034831</v>
      </c>
      <c r="E161" t="str">
        <f ca="1">IFERROR(__xludf.DUMMYFUNCTION("""COMPUTED_VALUE"""),"60 ПОЛУВАГОНЫ")</f>
        <v>60 ПОЛУВАГОНЫ</v>
      </c>
      <c r="F161">
        <f ca="1">IFERROR(__xludf.DUMMYFUNCTION("""COMPUTED_VALUE"""),24132)</f>
        <v>24132</v>
      </c>
      <c r="G161" t="str">
        <f ca="1">IFERROR(__xludf.DUMMYFUNCTION("""COMPUTED_VALUE"""),"КАМЕНЬ ГИПСОВ")</f>
        <v>КАМЕНЬ ГИПСОВ</v>
      </c>
      <c r="H161">
        <f ca="1">IFERROR(__xludf.DUMMYFUNCTION("""COMPUTED_VALUE"""),70)</f>
        <v>70</v>
      </c>
      <c r="I161">
        <f ca="1">IFERROR(__xludf.DUMMYFUNCTION("""COMPUTED_VALUE"""),8249)</f>
        <v>8249</v>
      </c>
      <c r="J161" t="str">
        <f ca="1">IFERROR(__xludf.DUMMYFUNCTION("""COMPUTED_VALUE"""),"1111 (49480-020-49000) СОЛЬ - ЛИМАН")</f>
        <v>1111 (49480-020-49000) СОЛЬ - ЛИМАН</v>
      </c>
      <c r="K161">
        <f ca="1">IFERROR(__xludf.DUMMYFUNCTION("""COMPUTED_VALUE"""),49480)</f>
        <v>49480</v>
      </c>
      <c r="L161" t="str">
        <f ca="1">IFERROR(__xludf.DUMMYFUNCTION("""COMPUTED_VALUE"""),"СОЛЬ")</f>
        <v>СОЛЬ</v>
      </c>
      <c r="M161" t="str">
        <f ca="1">IFERROR(__xludf.DUMMYFUNCTION("""COMPUTED_VALUE"""),"12.08.21 05-25")</f>
        <v>12.08.21 05-25</v>
      </c>
      <c r="N161" t="str">
        <f ca="1">IFERROR(__xludf.DUMMYFUNCTION("""COMPUTED_VALUE"""),"05 ФОРМ")</f>
        <v>05 ФОРМ</v>
      </c>
      <c r="O161">
        <f ca="1">IFERROR(__xludf.DUMMYFUNCTION("""COMPUTED_VALUE"""),32280)</f>
        <v>32280</v>
      </c>
      <c r="P161" t="str">
        <f ca="1">IFERROR(__xludf.DUMMYFUNCTION("""COMPUTED_VALUE"""),"БЕРЕЗАНЬ")</f>
        <v>БЕРЕЗАНЬ</v>
      </c>
      <c r="Q161">
        <f ca="1">IFERROR(__xludf.DUMMYFUNCTION("""COMPUTED_VALUE"""),49480)</f>
        <v>49480</v>
      </c>
      <c r="R161" t="str">
        <f ca="1">IFERROR(__xludf.DUMMYFUNCTION("""COMPUTED_VALUE"""),"СОЛЬ")</f>
        <v>СОЛЬ</v>
      </c>
      <c r="S161" t="str">
        <f ca="1">IFERROR(__xludf.DUMMYFUNCTION("""COMPUTED_VALUE"""),"11.08.21 18-00")</f>
        <v>11.08.21 18-00</v>
      </c>
      <c r="T161">
        <f ca="1">IFERROR(__xludf.DUMMYFUNCTION("""COMPUTED_VALUE"""),5377)</f>
        <v>5377</v>
      </c>
      <c r="U161" t="str">
        <f ca="1">IFERROR(__xludf.DUMMYFUNCTION("""COMPUTED_VALUE"""),"27.07.2023 ДР")</f>
        <v>27.07.2023 ДР</v>
      </c>
      <c r="Z161" t="str">
        <f ca="1">IFERROR(__xludf.DUMMYFUNCTION("""COMPUTED_VALUE"""),"ООО «АУРУМ ТРАНС»")</f>
        <v>ООО «АУРУМ ТРАНС»</v>
      </c>
      <c r="AA161" t="str">
        <f ca="1">IFERROR(__xludf.DUMMYFUNCTION("""COMPUTED_VALUE"""),"12-9790")</f>
        <v>12-9790</v>
      </c>
      <c r="AB161" t="str">
        <f ca="1">IFERROR(__xludf.DUMMYFUNCTION("""COMPUTED_VALUE"""),"45 ПРИДН")</f>
        <v>45 ПРИДН</v>
      </c>
      <c r="AC161" t="str">
        <f ca="1">IFERROR(__xludf.DUMMYFUNCTION("""COMPUTED_VALUE"""),"46710 КРИВ.РОГ-СОР")</f>
        <v>46710 КРИВ.РОГ-СОР</v>
      </c>
      <c r="AD161" t="str">
        <f ca="1">IFERROR(__xludf.DUMMYFUNCTION("""COMPUTED_VALUE"""),"13.07.21 08-14")</f>
        <v>13.07.21 08-14</v>
      </c>
      <c r="AE161" t="str">
        <f ca="1">IFERROR(__xludf.DUMMYFUNCTION("""COMPUTED_VALUE"""),"570 ИCТEК КAЛЕНДАРНЫЙ CPOК ДEПOВCКОГО PEМOНТA")</f>
        <v>570 ИCТEК КAЛЕНДАРНЫЙ CPOК ДEПOВCКОГО PEМOНТA</v>
      </c>
      <c r="AF161" t="str">
        <f ca="1">IFERROR(__xludf.DUMMYFUNCTION("""COMPUTED_VALUE"""),"45 ПРИДН")</f>
        <v>45 ПРИДН</v>
      </c>
      <c r="AG161" t="str">
        <f ca="1">IFERROR(__xludf.DUMMYFUNCTION("""COMPUTED_VALUE"""),"46710 КРИВ.РОГ-СОР")</f>
        <v>46710 КРИВ.РОГ-СОР</v>
      </c>
      <c r="AH161" t="str">
        <f ca="1">IFERROR(__xludf.DUMMYFUNCTION("""COMPUTED_VALUE"""),"27.07.21 13-55")</f>
        <v>27.07.21 13-55</v>
      </c>
      <c r="AI161" s="21">
        <f ca="1">IFERROR(__xludf.DUMMYFUNCTION("""COMPUTED_VALUE"""),44420.3576736111)</f>
        <v>44420.357673611099</v>
      </c>
    </row>
    <row r="162" spans="1:35" ht="13" x14ac:dyDescent="0.15">
      <c r="A162">
        <f ca="1">IFERROR(__xludf.DUMMYFUNCTION("""COMPUTED_VALUE"""),585)</f>
        <v>585</v>
      </c>
      <c r="B162" t="str">
        <f ca="1">IFERROR(__xludf.DUMMYFUNCTION("""COMPUTED_VALUE"""),"Техрейс")</f>
        <v>Техрейс</v>
      </c>
      <c r="C162" t="str">
        <f ca="1">IFERROR(__xludf.DUMMYFUNCTION("""COMPUTED_VALUE"""),"Аурум Транс")</f>
        <v>Аурум Транс</v>
      </c>
      <c r="D162">
        <f ca="1">IFERROR(__xludf.DUMMYFUNCTION("""COMPUTED_VALUE"""),61660809)</f>
        <v>61660809</v>
      </c>
      <c r="E162" t="str">
        <f ca="1">IFERROR(__xludf.DUMMYFUNCTION("""COMPUTED_VALUE"""),"60 ПОЛУВАГОНЫ")</f>
        <v>60 ПОЛУВАГОНЫ</v>
      </c>
      <c r="F162">
        <f ca="1">IFERROR(__xludf.DUMMYFUNCTION("""COMPUTED_VALUE"""),42103)</f>
        <v>42103</v>
      </c>
      <c r="G162" t="str">
        <f ca="1">IFERROR(__xludf.DUMMYFUNCTION("""COMPUTED_VALUE"""),"ВАГОНЫ ЖД СВ")</f>
        <v>ВАГОНЫ ЖД СВ</v>
      </c>
      <c r="H162">
        <f ca="1">IFERROR(__xludf.DUMMYFUNCTION("""COMPUTED_VALUE"""),0)</f>
        <v>0</v>
      </c>
      <c r="I162">
        <f ca="1">IFERROR(__xludf.DUMMYFUNCTION("""COMPUTED_VALUE"""),8607)</f>
        <v>8607</v>
      </c>
      <c r="J162" t="str">
        <f ca="1">IFERROR(__xludf.DUMMYFUNCTION("""COMPUTED_VALUE"""),"3502 (34270-145-33850) КАЗАТИН I - ЖАШКОВ")</f>
        <v>3502 (34270-145-33850) КАЗАТИН I - ЖАШКОВ</v>
      </c>
      <c r="K162">
        <f ca="1">IFERROR(__xludf.DUMMYFUNCTION("""COMPUTED_VALUE"""),33870)</f>
        <v>33870</v>
      </c>
      <c r="L162" t="str">
        <f ca="1">IFERROR(__xludf.DUMMYFUNCTION("""COMPUTED_VALUE"""),"ТЕТИЕВ")</f>
        <v>ТЕТИЕВ</v>
      </c>
      <c r="M162" t="str">
        <f ca="1">IFERROR(__xludf.DUMMYFUNCTION("""COMPUTED_VALUE"""),"10.08.21 16-00")</f>
        <v>10.08.21 16-00</v>
      </c>
      <c r="N162" t="str">
        <f ca="1">IFERROR(__xludf.DUMMYFUNCTION("""COMPUTED_VALUE"""),"86 ОДПВ")</f>
        <v>86 ОДПВ</v>
      </c>
      <c r="O162">
        <f ca="1">IFERROR(__xludf.DUMMYFUNCTION("""COMPUTED_VALUE"""),33700)</f>
        <v>33700</v>
      </c>
      <c r="P162" t="str">
        <f ca="1">IFERROR(__xludf.DUMMYFUNCTION("""COMPUTED_VALUE"""),"ГУЛЕВЦЫ")</f>
        <v>ГУЛЕВЦЫ</v>
      </c>
      <c r="Q162">
        <f ca="1">IFERROR(__xludf.DUMMYFUNCTION("""COMPUTED_VALUE"""),33870)</f>
        <v>33870</v>
      </c>
      <c r="R162" t="str">
        <f ca="1">IFERROR(__xludf.DUMMYFUNCTION("""COMPUTED_VALUE"""),"ТЕТИЕВ")</f>
        <v>ТЕТИЕВ</v>
      </c>
      <c r="S162" t="str">
        <f ca="1">IFERROR(__xludf.DUMMYFUNCTION("""COMPUTED_VALUE"""),"10.08.21 16-00")</f>
        <v>10.08.21 16-00</v>
      </c>
      <c r="T162">
        <f ca="1">IFERROR(__xludf.DUMMYFUNCTION("""COMPUTED_VALUE"""),8200)</f>
        <v>8200</v>
      </c>
      <c r="U162" t="str">
        <f ca="1">IFERROR(__xludf.DUMMYFUNCTION("""COMPUTED_VALUE"""),"07.06.2022 ДР")</f>
        <v>07.06.2022 ДР</v>
      </c>
      <c r="Z162" t="str">
        <f ca="1">IFERROR(__xludf.DUMMYFUNCTION("""COMPUTED_VALUE"""),"ООО «АУРУМ ТРАНС»")</f>
        <v>ООО «АУРУМ ТРАНС»</v>
      </c>
      <c r="AA162" t="str">
        <f ca="1">IFERROR(__xludf.DUMMYFUNCTION("""COMPUTED_VALUE"""),"12-9745")</f>
        <v>12-9745</v>
      </c>
      <c r="AB162" t="str">
        <f ca="1">IFERROR(__xludf.DUMMYFUNCTION("""COMPUTED_VALUE"""),"43 ЮЖН")</f>
        <v>43 ЮЖН</v>
      </c>
      <c r="AC162" t="str">
        <f ca="1">IFERROR(__xludf.DUMMYFUNCTION("""COMPUTED_VALUE"""),"44870 ПОЛТАВА-ЮЖН")</f>
        <v>44870 ПОЛТАВА-ЮЖН</v>
      </c>
      <c r="AD162" t="str">
        <f ca="1">IFERROR(__xludf.DUMMYFUNCTION("""COMPUTED_VALUE"""),"13.04.20 21-25")</f>
        <v>13.04.20 21-25</v>
      </c>
      <c r="AE162" t="str">
        <f ca="1">IFERROR(__xludf.DUMMYFUNCTION("""COMPUTED_VALUE"""),"445 ЗAВAP БAШМAКA")</f>
        <v>445 ЗAВAP БAШМAКA</v>
      </c>
      <c r="AF162" t="str">
        <f ca="1">IFERROR(__xludf.DUMMYFUNCTION("""COMPUTED_VALUE"""),"43 ЮЖН")</f>
        <v>43 ЮЖН</v>
      </c>
      <c r="AG162" t="str">
        <f ca="1">IFERROR(__xludf.DUMMYFUNCTION("""COMPUTED_VALUE"""),"44870 ПОЛТАВА-ЮЖН")</f>
        <v>44870 ПОЛТАВА-ЮЖН</v>
      </c>
      <c r="AH162" t="str">
        <f ca="1">IFERROR(__xludf.DUMMYFUNCTION("""COMPUTED_VALUE"""),"22.04.20 15-00")</f>
        <v>22.04.20 15-00</v>
      </c>
      <c r="AI162" s="21">
        <f ca="1">IFERROR(__xludf.DUMMYFUNCTION("""COMPUTED_VALUE"""),44420.3576736111)</f>
        <v>44420.357673611099</v>
      </c>
    </row>
    <row r="163" spans="1:35" ht="13" x14ac:dyDescent="0.15">
      <c r="A163">
        <f ca="1">IFERROR(__xludf.DUMMYFUNCTION("""COMPUTED_VALUE"""),586)</f>
        <v>586</v>
      </c>
      <c r="B163" t="str">
        <f ca="1">IFERROR(__xludf.DUMMYFUNCTION("""COMPUTED_VALUE"""),"Техрейс")</f>
        <v>Техрейс</v>
      </c>
      <c r="C163" t="str">
        <f ca="1">IFERROR(__xludf.DUMMYFUNCTION("""COMPUTED_VALUE"""),"Аурум Транс")</f>
        <v>Аурум Транс</v>
      </c>
      <c r="D163">
        <f ca="1">IFERROR(__xludf.DUMMYFUNCTION("""COMPUTED_VALUE"""),62959127)</f>
        <v>62959127</v>
      </c>
      <c r="E163" t="str">
        <f ca="1">IFERROR(__xludf.DUMMYFUNCTION("""COMPUTED_VALUE"""),"60 ПОЛУВАГОНЫ")</f>
        <v>60 ПОЛУВАГОНЫ</v>
      </c>
      <c r="F163">
        <f ca="1">IFERROR(__xludf.DUMMYFUNCTION("""COMPUTED_VALUE"""),42103)</f>
        <v>42103</v>
      </c>
      <c r="G163" t="str">
        <f ca="1">IFERROR(__xludf.DUMMYFUNCTION("""COMPUTED_VALUE"""),"ВАГОНЫ ЖД СВ")</f>
        <v>ВАГОНЫ ЖД СВ</v>
      </c>
      <c r="H163">
        <f ca="1">IFERROR(__xludf.DUMMYFUNCTION("""COMPUTED_VALUE"""),0)</f>
        <v>0</v>
      </c>
      <c r="I163">
        <f ca="1">IFERROR(__xludf.DUMMYFUNCTION("""COMPUTED_VALUE"""),5343)</f>
        <v>5343</v>
      </c>
      <c r="J163" t="str">
        <f ca="1">IFERROR(__xludf.DUMMYFUNCTION("""COMPUTED_VALUE"""),"2112 (40050-070-46720) БЕРЕГОВАЯ - КРИВОЙ РОГ")</f>
        <v>2112 (40050-070-46720) БЕРЕГОВАЯ - КРИВОЙ РОГ</v>
      </c>
      <c r="K163">
        <f ca="1">IFERROR(__xludf.DUMMYFUNCTION("""COMPUTED_VALUE"""),46720)</f>
        <v>46720</v>
      </c>
      <c r="L163" t="str">
        <f ca="1">IFERROR(__xludf.DUMMYFUNCTION("""COMPUTED_VALUE"""),"КРИВОЙ РОГ")</f>
        <v>КРИВОЙ РОГ</v>
      </c>
      <c r="M163" t="str">
        <f ca="1">IFERROR(__xludf.DUMMYFUNCTION("""COMPUTED_VALUE"""),"12.08.21 05-16")</f>
        <v>12.08.21 05-16</v>
      </c>
      <c r="N163" t="str">
        <f ca="1">IFERROR(__xludf.DUMMYFUNCTION("""COMPUTED_VALUE"""),"04 РАСФ")</f>
        <v>04 РАСФ</v>
      </c>
      <c r="O163">
        <f ca="1">IFERROR(__xludf.DUMMYFUNCTION("""COMPUTED_VALUE"""),46720)</f>
        <v>46720</v>
      </c>
      <c r="P163" t="str">
        <f ca="1">IFERROR(__xludf.DUMMYFUNCTION("""COMPUTED_VALUE"""),"КРИВОЙ РОГ")</f>
        <v>КРИВОЙ РОГ</v>
      </c>
      <c r="Q163">
        <f ca="1">IFERROR(__xludf.DUMMYFUNCTION("""COMPUTED_VALUE"""),40050)</f>
        <v>40050</v>
      </c>
      <c r="R163" t="str">
        <f ca="1">IFERROR(__xludf.DUMMYFUNCTION("""COMPUTED_VALUE"""),"БЕРЕГОВАЯ")</f>
        <v>БЕРЕГОВАЯ</v>
      </c>
      <c r="S163" t="str">
        <f ca="1">IFERROR(__xludf.DUMMYFUNCTION("""COMPUTED_VALUE"""),"11.08.21 09-40")</f>
        <v>11.08.21 09-40</v>
      </c>
      <c r="T163">
        <f ca="1">IFERROR(__xludf.DUMMYFUNCTION("""COMPUTED_VALUE"""),8200)</f>
        <v>8200</v>
      </c>
      <c r="U163" t="str">
        <f ca="1">IFERROR(__xludf.DUMMYFUNCTION("""COMPUTED_VALUE"""),"10.06.2022 ДР")</f>
        <v>10.06.2022 ДР</v>
      </c>
      <c r="Z163" t="str">
        <f ca="1">IFERROR(__xludf.DUMMYFUNCTION("""COMPUTED_VALUE"""),"ООО «АУРУМ ТРАНС»")</f>
        <v>ООО «АУРУМ ТРАНС»</v>
      </c>
      <c r="AA163" t="str">
        <f ca="1">IFERROR(__xludf.DUMMYFUNCTION("""COMPUTED_VALUE"""),"12-9745")</f>
        <v>12-9745</v>
      </c>
      <c r="AB163" t="str">
        <f ca="1">IFERROR(__xludf.DUMMYFUNCTION("""COMPUTED_VALUE"""),"48 ДОН")</f>
        <v>48 ДОН</v>
      </c>
      <c r="AC163" t="str">
        <f ca="1">IFERROR(__xludf.DUMMYFUNCTION("""COMPUTED_VALUE"""),"49000 ЛИМАН")</f>
        <v>49000 ЛИМАН</v>
      </c>
      <c r="AD163" t="str">
        <f ca="1">IFERROR(__xludf.DUMMYFUNCTION("""COMPUTED_VALUE"""),"30.01.21 07-10")</f>
        <v>30.01.21 07-10</v>
      </c>
      <c r="AE163" t="str">
        <f ca="1">IFERROR(__xludf.DUMMYFUNCTION("""COMPUTED_VALUE"""),"447 PAЗPEГУЛИPOВАНИЕ PЫЧAЖНOЙ ПEPEДAЧИ")</f>
        <v>447 PAЗPEГУЛИPOВАНИЕ PЫЧAЖНOЙ ПEPEДAЧИ</v>
      </c>
      <c r="AF163" t="str">
        <f ca="1">IFERROR(__xludf.DUMMYFUNCTION("""COMPUTED_VALUE"""),"48 ДОН")</f>
        <v>48 ДОН</v>
      </c>
      <c r="AG163" t="str">
        <f ca="1">IFERROR(__xludf.DUMMYFUNCTION("""COMPUTED_VALUE"""),"49000 ЛИМАН")</f>
        <v>49000 ЛИМАН</v>
      </c>
      <c r="AH163" t="str">
        <f ca="1">IFERROR(__xludf.DUMMYFUNCTION("""COMPUTED_VALUE"""),"01.02.21 17-00")</f>
        <v>01.02.21 17-00</v>
      </c>
      <c r="AI163" s="21">
        <f ca="1">IFERROR(__xludf.DUMMYFUNCTION("""COMPUTED_VALUE"""),44420.3576736111)</f>
        <v>44420.357673611099</v>
      </c>
    </row>
    <row r="164" spans="1:35" ht="13" x14ac:dyDescent="0.15">
      <c r="A164">
        <f ca="1">IFERROR(__xludf.DUMMYFUNCTION("""COMPUTED_VALUE"""),588)</f>
        <v>588</v>
      </c>
      <c r="B164" t="str">
        <f ca="1">IFERROR(__xludf.DUMMYFUNCTION("""COMPUTED_VALUE"""),"Техрейс")</f>
        <v>Техрейс</v>
      </c>
      <c r="C164" t="str">
        <f ca="1">IFERROR(__xludf.DUMMYFUNCTION("""COMPUTED_VALUE"""),"Аурум Транс")</f>
        <v>Аурум Транс</v>
      </c>
      <c r="D164">
        <f ca="1">IFERROR(__xludf.DUMMYFUNCTION("""COMPUTED_VALUE"""),63390736)</f>
        <v>63390736</v>
      </c>
      <c r="E164" t="str">
        <f ca="1">IFERROR(__xludf.DUMMYFUNCTION("""COMPUTED_VALUE"""),"60 ПОЛУВАГОНЫ")</f>
        <v>60 ПОЛУВАГОНЫ</v>
      </c>
      <c r="F164">
        <f ca="1">IFERROR(__xludf.DUMMYFUNCTION("""COMPUTED_VALUE"""),24132)</f>
        <v>24132</v>
      </c>
      <c r="G164" t="str">
        <f ca="1">IFERROR(__xludf.DUMMYFUNCTION("""COMPUTED_VALUE"""),"КАМЕНЬ ГИПСОВ")</f>
        <v>КАМЕНЬ ГИПСОВ</v>
      </c>
      <c r="H164">
        <f ca="1">IFERROR(__xludf.DUMMYFUNCTION("""COMPUTED_VALUE"""),70)</f>
        <v>70</v>
      </c>
      <c r="I164">
        <f ca="1">IFERROR(__xludf.DUMMYFUNCTION("""COMPUTED_VALUE"""),6182)</f>
        <v>6182</v>
      </c>
      <c r="J164" t="str">
        <f ca="1">IFERROR(__xludf.DUMMYFUNCTION("""COMPUTED_VALUE"""),"2001 (45000-432-41000) НИЖНЕДН-УЗЕЛ - ЗНАМЕНКА")</f>
        <v>2001 (45000-432-41000) НИЖНЕДН-УЗЕЛ - ЗНАМЕНКА</v>
      </c>
      <c r="K164">
        <f ca="1">IFERROR(__xludf.DUMMYFUNCTION("""COMPUTED_VALUE"""),45000)</f>
        <v>45000</v>
      </c>
      <c r="L164" t="str">
        <f ca="1">IFERROR(__xludf.DUMMYFUNCTION("""COMPUTED_VALUE"""),"НИЖНЕДН-УЗЕЛ")</f>
        <v>НИЖНЕДН-УЗЕЛ</v>
      </c>
      <c r="M164" t="str">
        <f ca="1">IFERROR(__xludf.DUMMYFUNCTION("""COMPUTED_VALUE"""),"12.08.21 08-14")</f>
        <v>12.08.21 08-14</v>
      </c>
      <c r="N164" t="str">
        <f ca="1">IFERROR(__xludf.DUMMYFUNCTION("""COMPUTED_VALUE"""),"05 ФОРМ")</f>
        <v>05 ФОРМ</v>
      </c>
      <c r="O164">
        <f ca="1">IFERROR(__xludf.DUMMYFUNCTION("""COMPUTED_VALUE"""),41310)</f>
        <v>41310</v>
      </c>
      <c r="P164" t="str">
        <f ca="1">IFERROR(__xludf.DUMMYFUNCTION("""COMPUTED_VALUE"""),"АЛЕКСАНДР")</f>
        <v>АЛЕКСАНДР</v>
      </c>
      <c r="Q164">
        <f ca="1">IFERROR(__xludf.DUMMYFUNCTION("""COMPUTED_VALUE"""),49480)</f>
        <v>49480</v>
      </c>
      <c r="R164" t="str">
        <f ca="1">IFERROR(__xludf.DUMMYFUNCTION("""COMPUTED_VALUE"""),"СОЛЬ")</f>
        <v>СОЛЬ</v>
      </c>
      <c r="S164" t="str">
        <f ca="1">IFERROR(__xludf.DUMMYFUNCTION("""COMPUTED_VALUE"""),"10.08.21 17-40")</f>
        <v>10.08.21 17-40</v>
      </c>
      <c r="T164">
        <f ca="1">IFERROR(__xludf.DUMMYFUNCTION("""COMPUTED_VALUE"""),5377)</f>
        <v>5377</v>
      </c>
      <c r="U164" t="str">
        <f ca="1">IFERROR(__xludf.DUMMYFUNCTION("""COMPUTED_VALUE"""),"29.12.2023 ДР")</f>
        <v>29.12.2023 ДР</v>
      </c>
      <c r="Z164" t="str">
        <f ca="1">IFERROR(__xludf.DUMMYFUNCTION("""COMPUTED_VALUE"""),"ООО «АУРУМ ТРАНС»")</f>
        <v>ООО «АУРУМ ТРАНС»</v>
      </c>
      <c r="AA164" t="str">
        <f ca="1">IFERROR(__xludf.DUMMYFUNCTION("""COMPUTED_VALUE"""),"12-9933-01")</f>
        <v>12-9933-01</v>
      </c>
      <c r="AB164" t="str">
        <f ca="1">IFERROR(__xludf.DUMMYFUNCTION("""COMPUTED_VALUE"""),"45 ПРИДН")</f>
        <v>45 ПРИДН</v>
      </c>
      <c r="AC164" t="str">
        <f ca="1">IFERROR(__xludf.DUMMYFUNCTION("""COMPUTED_VALUE"""),"46710 КРИВ.РОГ-СОР")</f>
        <v>46710 КРИВ.РОГ-СОР</v>
      </c>
      <c r="AD164" t="str">
        <f ca="1">IFERROR(__xludf.DUMMYFUNCTION("""COMPUTED_VALUE"""),"22.12.20 13-38")</f>
        <v>22.12.20 13-38</v>
      </c>
      <c r="AE164" t="str">
        <f ca="1">IFERROR(__xludf.DUMMYFUNCTION("""COMPUTED_VALUE"""),"570 ИCТEК КAЛЕНДАРНЫЙ CPOК ДEПOВCКОГО PEМOНТA")</f>
        <v>570 ИCТEК КAЛЕНДАРНЫЙ CPOК ДEПOВCКОГО PEМOНТA</v>
      </c>
      <c r="AF164" t="str">
        <f ca="1">IFERROR(__xludf.DUMMYFUNCTION("""COMPUTED_VALUE"""),"45 ПРИДН")</f>
        <v>45 ПРИДН</v>
      </c>
      <c r="AG164" t="str">
        <f ca="1">IFERROR(__xludf.DUMMYFUNCTION("""COMPUTED_VALUE"""),"46710 КРИВ.РОГ-СОР")</f>
        <v>46710 КРИВ.РОГ-СОР</v>
      </c>
      <c r="AH164" t="str">
        <f ca="1">IFERROR(__xludf.DUMMYFUNCTION("""COMPUTED_VALUE"""),"29.12.20 15-18")</f>
        <v>29.12.20 15-18</v>
      </c>
      <c r="AI164" s="21">
        <f ca="1">IFERROR(__xludf.DUMMYFUNCTION("""COMPUTED_VALUE"""),44420.3576736111)</f>
        <v>44420.357673611099</v>
      </c>
    </row>
    <row r="165" spans="1:35" ht="13" x14ac:dyDescent="0.15">
      <c r="A165">
        <f ca="1">IFERROR(__xludf.DUMMYFUNCTION("""COMPUTED_VALUE"""),590)</f>
        <v>590</v>
      </c>
      <c r="B165" t="str">
        <f ca="1">IFERROR(__xludf.DUMMYFUNCTION("""COMPUTED_VALUE"""),"Ламан-Шипинг скраренда")</f>
        <v>Ламан-Шипинг скраренда</v>
      </c>
      <c r="C165" t="str">
        <f ca="1">IFERROR(__xludf.DUMMYFUNCTION("""COMPUTED_VALUE"""),"ТрансЕнерджи")</f>
        <v>ТрансЕнерджи</v>
      </c>
      <c r="D165">
        <f ca="1">IFERROR(__xludf.DUMMYFUNCTION("""COMPUTED_VALUE"""),65770984)</f>
        <v>65770984</v>
      </c>
      <c r="E165" t="str">
        <f ca="1">IFERROR(__xludf.DUMMYFUNCTION("""COMPUTED_VALUE"""),"60 ПОЛУВАГОНЫ")</f>
        <v>60 ПОЛУВАГОНЫ</v>
      </c>
      <c r="F165">
        <f ca="1">IFERROR(__xludf.DUMMYFUNCTION("""COMPUTED_VALUE"""),24151)</f>
        <v>24151</v>
      </c>
      <c r="G165" t="str">
        <f ca="1">IFERROR(__xludf.DUMMYFUNCTION("""COMPUTED_VALUE"""),"ПРОДУКТ ПОЛЕВОШ")</f>
        <v>ПРОДУКТ ПОЛЕВОШ</v>
      </c>
      <c r="H165">
        <f ca="1">IFERROR(__xludf.DUMMYFUNCTION("""COMPUTED_VALUE"""),69)</f>
        <v>69</v>
      </c>
      <c r="I165">
        <f ca="1">IFERROR(__xludf.DUMMYFUNCTION("""COMPUTED_VALUE"""),8223)</f>
        <v>8223</v>
      </c>
      <c r="J165" t="str">
        <f ca="1">IFERROR(__xludf.DUMMYFUNCTION("""COMPUTED_VALUE"""),"3601 (32000-629-32010) ДАРНИЦА - КИЕВ-ДЕМЕЕВС")</f>
        <v>3601 (32000-629-32010) ДАРНИЦА - КИЕВ-ДЕМЕЕВС</v>
      </c>
      <c r="K165">
        <f ca="1">IFERROR(__xludf.DUMMYFUNCTION("""COMPUTED_VALUE"""),32010)</f>
        <v>32010</v>
      </c>
      <c r="L165" t="str">
        <f ca="1">IFERROR(__xludf.DUMMYFUNCTION("""COMPUTED_VALUE"""),"КИЕВ-ДЕМЕЕВС")</f>
        <v>КИЕВ-ДЕМЕЕВС</v>
      </c>
      <c r="M165" t="str">
        <f ca="1">IFERROR(__xludf.DUMMYFUNCTION("""COMPUTED_VALUE"""),"10.08.21 08-50")</f>
        <v>10.08.21 08-50</v>
      </c>
      <c r="N165" t="str">
        <f ca="1">IFERROR(__xludf.DUMMYFUNCTION("""COMPUTED_VALUE"""),"21 ВЫГ2")</f>
        <v>21 ВЫГ2</v>
      </c>
      <c r="O165">
        <f ca="1">IFERROR(__xludf.DUMMYFUNCTION("""COMPUTED_VALUE"""),32010)</f>
        <v>32010</v>
      </c>
      <c r="P165" t="str">
        <f ca="1">IFERROR(__xludf.DUMMYFUNCTION("""COMPUTED_VALUE"""),"КИЕВ-ДЕМЕЕВС")</f>
        <v>КИЕВ-ДЕМЕЕВС</v>
      </c>
      <c r="Q165">
        <f ca="1">IFERROR(__xludf.DUMMYFUNCTION("""COMPUTED_VALUE"""),34170)</f>
        <v>34170</v>
      </c>
      <c r="R165" t="str">
        <f ca="1">IFERROR(__xludf.DUMMYFUNCTION("""COMPUTED_VALUE"""),"ПОЛОННОЕ")</f>
        <v>ПОЛОННОЕ</v>
      </c>
      <c r="S165" t="str">
        <f ca="1">IFERROR(__xludf.DUMMYFUNCTION("""COMPUTED_VALUE"""),"07.08.21 17-45")</f>
        <v>07.08.21 17-45</v>
      </c>
      <c r="U165" t="str">
        <f ca="1">IFERROR(__xludf.DUMMYFUNCTION("""COMPUTED_VALUE"""),"17.03.2024 КР")</f>
        <v>17.03.2024 КР</v>
      </c>
      <c r="Z165" t="str">
        <f ca="1">IFERROR(__xludf.DUMMYFUNCTION("""COMPUTED_VALUE"""),"ООО «ТРАНС ЭНЕРДЖИ»")</f>
        <v>ООО «ТРАНС ЭНЕРДЖИ»</v>
      </c>
      <c r="AA165" t="str">
        <f ca="1">IFERROR(__xludf.DUMMYFUNCTION("""COMPUTED_VALUE"""),"12-9790")</f>
        <v>12-9790</v>
      </c>
      <c r="AB165" t="str">
        <f ca="1">IFERROR(__xludf.DUMMYFUNCTION("""COMPUTED_VALUE"""),"32 Ю-ЗАП")</f>
        <v>32 Ю-ЗАП</v>
      </c>
      <c r="AC165" t="str">
        <f ca="1">IFERROR(__xludf.DUMMYFUNCTION("""COMPUTED_VALUE"""),"33000 ЖМЕРИНКА")</f>
        <v>33000 ЖМЕРИНКА</v>
      </c>
      <c r="AD165" t="str">
        <f ca="1">IFERROR(__xludf.DUMMYFUNCTION("""COMPUTED_VALUE"""),"13.03.21 09-47")</f>
        <v>13.03.21 09-47</v>
      </c>
      <c r="AE165" t="str">
        <f ca="1">IFERROR(__xludf.DUMMYFUNCTION("""COMPUTED_VALUE"""),"570 ИCТEК КAЛЕНДАРНЫЙ CPOК ДEПOВCКОГО PEМOНТA")</f>
        <v>570 ИCТEК КAЛЕНДАРНЫЙ CPOК ДEПOВCКОГО PEМOНТA</v>
      </c>
      <c r="AF165" t="str">
        <f ca="1">IFERROR(__xludf.DUMMYFUNCTION("""COMPUTED_VALUE"""),"32 Ю-ЗАП")</f>
        <v>32 Ю-ЗАП</v>
      </c>
      <c r="AG165" t="str">
        <f ca="1">IFERROR(__xludf.DUMMYFUNCTION("""COMPUTED_VALUE"""),"33000 ЖМЕРИНКА")</f>
        <v>33000 ЖМЕРИНКА</v>
      </c>
      <c r="AH165" t="str">
        <f ca="1">IFERROR(__xludf.DUMMYFUNCTION("""COMPUTED_VALUE"""),"17.03.21 13-52")</f>
        <v>17.03.21 13-52</v>
      </c>
      <c r="AI165" s="21">
        <f ca="1">IFERROR(__xludf.DUMMYFUNCTION("""COMPUTED_VALUE"""),44420.3576736111)</f>
        <v>44420.357673611099</v>
      </c>
    </row>
    <row r="166" spans="1:35" ht="13" x14ac:dyDescent="0.15">
      <c r="A166">
        <f ca="1">IFERROR(__xludf.DUMMYFUNCTION("""COMPUTED_VALUE"""),591)</f>
        <v>591</v>
      </c>
      <c r="B166" t="str">
        <f ca="1">IFERROR(__xludf.DUMMYFUNCTION("""COMPUTED_VALUE"""),"Техрейс")</f>
        <v>Техрейс</v>
      </c>
      <c r="C166" t="str">
        <f ca="1">IFERROR(__xludf.DUMMYFUNCTION("""COMPUTED_VALUE"""),"ТрансЕнерджи")</f>
        <v>ТрансЕнерджи</v>
      </c>
      <c r="D166">
        <f ca="1">IFERROR(__xludf.DUMMYFUNCTION("""COMPUTED_VALUE"""),61357067)</f>
        <v>61357067</v>
      </c>
      <c r="E166" t="str">
        <f ca="1">IFERROR(__xludf.DUMMYFUNCTION("""COMPUTED_VALUE"""),"60 ПОЛУВАГОНЫ")</f>
        <v>60 ПОЛУВАГОНЫ</v>
      </c>
      <c r="F166">
        <f ca="1">IFERROR(__xludf.DUMMYFUNCTION("""COMPUTED_VALUE"""),42119)</f>
        <v>42119</v>
      </c>
      <c r="G166" t="str">
        <f ca="1">IFERROR(__xludf.DUMMYFUNCTION("""COMPUTED_VALUE"""),"ВАГОНЫ ЖД РЕМОН")</f>
        <v>ВАГОНЫ ЖД РЕМОН</v>
      </c>
      <c r="H166">
        <f ca="1">IFERROR(__xludf.DUMMYFUNCTION("""COMPUTED_VALUE"""),0)</f>
        <v>0</v>
      </c>
      <c r="I166">
        <f ca="1">IFERROR(__xludf.DUMMYFUNCTION("""COMPUTED_VALUE"""),4584)</f>
        <v>4584</v>
      </c>
      <c r="J166" t="str">
        <f ca="1">IFERROR(__xludf.DUMMYFUNCTION("""COMPUTED_VALUE"""),"3002 (46060-014-46300) ЗАПОРОЖЬЕ II - ПОЛОГИ")</f>
        <v>3002 (46060-014-46300) ЗАПОРОЖЬЕ II - ПОЛОГИ</v>
      </c>
      <c r="K166">
        <f ca="1">IFERROR(__xludf.DUMMYFUNCTION("""COMPUTED_VALUE"""),46310)</f>
        <v>46310</v>
      </c>
      <c r="L166" t="str">
        <f ca="1">IFERROR(__xludf.DUMMYFUNCTION("""COMPUTED_VALUE"""),"ГУЛЯЙПОЛЕ")</f>
        <v>ГУЛЯЙПОЛЕ</v>
      </c>
      <c r="M166" t="str">
        <f ca="1">IFERROR(__xludf.DUMMYFUNCTION("""COMPUTED_VALUE"""),"11.08.21 11-17")</f>
        <v>11.08.21 11-17</v>
      </c>
      <c r="N166" t="str">
        <f ca="1">IFERROR(__xludf.DUMMYFUNCTION("""COMPUTED_VALUE"""),"91 ПРДР")</f>
        <v>91 ПРДР</v>
      </c>
      <c r="O166">
        <f ca="1">IFERROR(__xludf.DUMMYFUNCTION("""COMPUTED_VALUE"""),49870)</f>
        <v>49870</v>
      </c>
      <c r="P166" t="str">
        <f ca="1">IFERROR(__xludf.DUMMYFUNCTION("""COMPUTED_VALUE"""),"РУБЕЖНОЕ")</f>
        <v>РУБЕЖНОЕ</v>
      </c>
      <c r="Q166">
        <f ca="1">IFERROR(__xludf.DUMMYFUNCTION("""COMPUTED_VALUE"""),46310)</f>
        <v>46310</v>
      </c>
      <c r="R166" t="str">
        <f ca="1">IFERROR(__xludf.DUMMYFUNCTION("""COMPUTED_VALUE"""),"ГУЛЯЙПОЛЕ")</f>
        <v>ГУЛЯЙПОЛЕ</v>
      </c>
      <c r="S166" t="str">
        <f ca="1">IFERROR(__xludf.DUMMYFUNCTION("""COMPUTED_VALUE"""),"11.08.21 11-10")</f>
        <v>11.08.21 11-10</v>
      </c>
      <c r="T166">
        <f ca="1">IFERROR(__xludf.DUMMYFUNCTION("""COMPUTED_VALUE"""),8200)</f>
        <v>8200</v>
      </c>
      <c r="U166" t="str">
        <f ca="1">IFERROR(__xludf.DUMMYFUNCTION("""COMPUTED_VALUE"""),"12.08.2021 ДР")</f>
        <v>12.08.2021 ДР</v>
      </c>
      <c r="Z166" t="str">
        <f ca="1">IFERROR(__xludf.DUMMYFUNCTION("""COMPUTED_VALUE"""),"ООО «ТРАНС ЭНЕРДЖИ»")</f>
        <v>ООО «ТРАНС ЭНЕРДЖИ»</v>
      </c>
      <c r="AA166" t="str">
        <f ca="1">IFERROR(__xludf.DUMMYFUNCTION("""COMPUTED_VALUE"""),"12-9790")</f>
        <v>12-9790</v>
      </c>
      <c r="AB166" t="str">
        <f ca="1">IFERROR(__xludf.DUMMYFUNCTION("""COMPUTED_VALUE"""),"45 ПРИДН")</f>
        <v>45 ПРИДН</v>
      </c>
      <c r="AC166" t="str">
        <f ca="1">IFERROR(__xludf.DUMMYFUNCTION("""COMPUTED_VALUE"""),"46310 ГУЛЯЙПОЛЕ")</f>
        <v>46310 ГУЛЯЙПОЛЕ</v>
      </c>
      <c r="AD166" t="str">
        <f ca="1">IFERROR(__xludf.DUMMYFUNCTION("""COMPUTED_VALUE"""),"10.08.21 16-49")</f>
        <v>10.08.21 16-49</v>
      </c>
      <c r="AE166" t="str">
        <f ca="1">IFERROR(__xludf.DUMMYFUNCTION("""COMPUTED_VALUE"""),"570 ИCТEК КAЛЕНДАРНЫЙ CPOК ДEПOВCКОГО PEМOНТA")</f>
        <v>570 ИCТEК КAЛЕНДАРНЫЙ CPOК ДEПOВCКОГО PEМOНТA</v>
      </c>
      <c r="AF166" t="str">
        <f ca="1">IFERROR(__xludf.DUMMYFUNCTION("""COMPUTED_VALUE"""),"40 ОД")</f>
        <v>40 ОД</v>
      </c>
      <c r="AG166" t="str">
        <f ca="1">IFERROR(__xludf.DUMMYFUNCTION("""COMPUTED_VALUE"""),"41510 НИКОЛАЕВ")</f>
        <v>41510 НИКОЛАЕВ</v>
      </c>
      <c r="AH166" t="str">
        <f ca="1">IFERROR(__xludf.DUMMYFUNCTION("""COMPUTED_VALUE"""),"29.05.21 10-30")</f>
        <v>29.05.21 10-30</v>
      </c>
      <c r="AI166" s="21">
        <f ca="1">IFERROR(__xludf.DUMMYFUNCTION("""COMPUTED_VALUE"""),44420.3576736111)</f>
        <v>44420.357673611099</v>
      </c>
    </row>
    <row r="167" spans="1:35" ht="13" x14ac:dyDescent="0.15">
      <c r="A167">
        <f ca="1">IFERROR(__xludf.DUMMYFUNCTION("""COMPUTED_VALUE"""),592)</f>
        <v>592</v>
      </c>
      <c r="B167" t="str">
        <f ca="1">IFERROR(__xludf.DUMMYFUNCTION("""COMPUTED_VALUE"""),"Техрейс")</f>
        <v>Техрейс</v>
      </c>
      <c r="C167" t="str">
        <f ca="1">IFERROR(__xludf.DUMMYFUNCTION("""COMPUTED_VALUE"""),"ТрансЕнерджи")</f>
        <v>ТрансЕнерджи</v>
      </c>
      <c r="D167">
        <f ca="1">IFERROR(__xludf.DUMMYFUNCTION("""COMPUTED_VALUE"""),65761124)</f>
        <v>65761124</v>
      </c>
      <c r="E167" t="str">
        <f ca="1">IFERROR(__xludf.DUMMYFUNCTION("""COMPUTED_VALUE"""),"60 ПОЛУВАГОНЫ")</f>
        <v>60 ПОЛУВАГОНЫ</v>
      </c>
      <c r="F167">
        <f ca="1">IFERROR(__xludf.DUMMYFUNCTION("""COMPUTED_VALUE"""),43604)</f>
        <v>43604</v>
      </c>
      <c r="G167" t="str">
        <f ca="1">IFERROR(__xludf.DUMMYFUNCTION("""COMPUTED_VALUE"""),"ДИАММОФОС")</f>
        <v>ДИАММОФОС</v>
      </c>
      <c r="H167">
        <f ca="1">IFERROR(__xludf.DUMMYFUNCTION("""COMPUTED_VALUE"""),68)</f>
        <v>68</v>
      </c>
      <c r="I167">
        <f ca="1">IFERROR(__xludf.DUMMYFUNCTION("""COMPUTED_VALUE"""),2154)</f>
        <v>2154</v>
      </c>
      <c r="J167" t="str">
        <f ca="1">IFERROR(__xludf.DUMMYFUNCTION("""COMPUTED_VALUE"""),"2844 (35000-040-34270) ЗДОЛБУНОВ - КАЗАТИН I")</f>
        <v>2844 (35000-040-34270) ЗДОЛБУНОВ - КАЗАТИН I</v>
      </c>
      <c r="K167">
        <f ca="1">IFERROR(__xludf.DUMMYFUNCTION("""COMPUTED_VALUE"""),34000)</f>
        <v>34000</v>
      </c>
      <c r="L167" t="str">
        <f ca="1">IFERROR(__xludf.DUMMYFUNCTION("""COMPUTED_VALUE"""),"ШЕПЕТОВКА")</f>
        <v>ШЕПЕТОВКА</v>
      </c>
      <c r="M167" t="str">
        <f ca="1">IFERROR(__xludf.DUMMYFUNCTION("""COMPUTED_VALUE"""),"11.08.21 12-00")</f>
        <v>11.08.21 12-00</v>
      </c>
      <c r="N167" t="str">
        <f ca="1">IFERROR(__xludf.DUMMYFUNCTION("""COMPUTED_VALUE"""),"51 ПРИБ")</f>
        <v>51 ПРИБ</v>
      </c>
      <c r="O167">
        <f ca="1">IFERROR(__xludf.DUMMYFUNCTION("""COMPUTED_VALUE"""),44280)</f>
        <v>44280</v>
      </c>
      <c r="P167" t="str">
        <f ca="1">IFERROR(__xludf.DUMMYFUNCTION("""COMPUTED_VALUE"""),"ЛОЗОВАЯ")</f>
        <v>ЛОЗОВАЯ</v>
      </c>
      <c r="Q167">
        <f ca="1">IFERROR(__xludf.DUMMYFUNCTION("""COMPUTED_VALUE"""),35050)</f>
        <v>35050</v>
      </c>
      <c r="R167" t="str">
        <f ca="1">IFERROR(__xludf.DUMMYFUNCTION("""COMPUTED_VALUE"""),"КРЕМЕНЕЦ")</f>
        <v>КРЕМЕНЕЦ</v>
      </c>
      <c r="S167" t="str">
        <f ca="1">IFERROR(__xludf.DUMMYFUNCTION("""COMPUTED_VALUE"""),"06.08.21 17-25")</f>
        <v>06.08.21 17-25</v>
      </c>
      <c r="T167">
        <f ca="1">IFERROR(__xludf.DUMMYFUNCTION("""COMPUTED_VALUE"""),1727)</f>
        <v>1727</v>
      </c>
      <c r="U167" t="str">
        <f ca="1">IFERROR(__xludf.DUMMYFUNCTION("""COMPUTED_VALUE"""),"21.03.2022 ДР")</f>
        <v>21.03.2022 ДР</v>
      </c>
      <c r="Z167" t="str">
        <f ca="1">IFERROR(__xludf.DUMMYFUNCTION("""COMPUTED_VALUE"""),"ООО «ТРАНС ЭНЕРДЖИ»")</f>
        <v>ООО «ТРАНС ЭНЕРДЖИ»</v>
      </c>
      <c r="AA167" t="str">
        <f ca="1">IFERROR(__xludf.DUMMYFUNCTION("""COMPUTED_VALUE"""),"12-9790")</f>
        <v>12-9790</v>
      </c>
      <c r="AB167" t="str">
        <f ca="1">IFERROR(__xludf.DUMMYFUNCTION("""COMPUTED_VALUE"""),"45 ПРИДН")</f>
        <v>45 ПРИДН</v>
      </c>
      <c r="AC167" t="str">
        <f ca="1">IFERROR(__xludf.DUMMYFUNCTION("""COMPUTED_VALUE"""),"45580 КАМЕНСКОЕ")</f>
        <v>45580 КАМЕНСКОЕ</v>
      </c>
      <c r="AD167" t="str">
        <f ca="1">IFERROR(__xludf.DUMMYFUNCTION("""COMPUTED_VALUE"""),"21.03.19 08-05")</f>
        <v>21.03.19 08-05</v>
      </c>
      <c r="AE167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167" t="str">
        <f ca="1">IFERROR(__xludf.DUMMYFUNCTION("""COMPUTED_VALUE"""),"45 ПРИДН")</f>
        <v>45 ПРИДН</v>
      </c>
      <c r="AG167" t="str">
        <f ca="1">IFERROR(__xludf.DUMMYFUNCTION("""COMPUTED_VALUE"""),"45580 КАМЕНСКОЕ")</f>
        <v>45580 КАМЕНСКОЕ</v>
      </c>
      <c r="AH167" t="str">
        <f ca="1">IFERROR(__xludf.DUMMYFUNCTION("""COMPUTED_VALUE"""),"21.03.19 08-30")</f>
        <v>21.03.19 08-30</v>
      </c>
      <c r="AI167" s="21">
        <f ca="1">IFERROR(__xludf.DUMMYFUNCTION("""COMPUTED_VALUE"""),44420.3576736111)</f>
        <v>44420.357673611099</v>
      </c>
    </row>
    <row r="168" spans="1:35" ht="13" x14ac:dyDescent="0.15">
      <c r="A168">
        <f ca="1">IFERROR(__xludf.DUMMYFUNCTION("""COMPUTED_VALUE"""),593)</f>
        <v>593</v>
      </c>
      <c r="B168" t="str">
        <f ca="1">IFERROR(__xludf.DUMMYFUNCTION("""COMPUTED_VALUE"""),"Ламан-Шипинг скраренда")</f>
        <v>Ламан-Шипинг скраренда</v>
      </c>
      <c r="C168" t="str">
        <f ca="1">IFERROR(__xludf.DUMMYFUNCTION("""COMPUTED_VALUE"""),"Аурум Транс")</f>
        <v>Аурум Транс</v>
      </c>
      <c r="D168">
        <f ca="1">IFERROR(__xludf.DUMMYFUNCTION("""COMPUTED_VALUE"""),58376625)</f>
        <v>58376625</v>
      </c>
      <c r="E168" t="str">
        <f ca="1">IFERROR(__xludf.DUMMYFUNCTION("""COMPUTED_VALUE"""),"60 ПОЛУВАГОНЫ")</f>
        <v>60 ПОЛУВАГОНЫ</v>
      </c>
      <c r="F168">
        <f ca="1">IFERROR(__xludf.DUMMYFUNCTION("""COMPUTED_VALUE"""),42119)</f>
        <v>42119</v>
      </c>
      <c r="G168" t="str">
        <f ca="1">IFERROR(__xludf.DUMMYFUNCTION("""COMPUTED_VALUE"""),"ВАГОНЫ ЖД РЕМОН")</f>
        <v>ВАГОНЫ ЖД РЕМОН</v>
      </c>
      <c r="H168">
        <f ca="1">IFERROR(__xludf.DUMMYFUNCTION("""COMPUTED_VALUE"""),0)</f>
        <v>0</v>
      </c>
      <c r="I168">
        <f ca="1">IFERROR(__xludf.DUMMYFUNCTION("""COMPUTED_VALUE"""),2820)</f>
        <v>2820</v>
      </c>
      <c r="J168" t="str">
        <f ca="1">IFERROR(__xludf.DUMMYFUNCTION("""COMPUTED_VALUE"""),"3602 (32010-565-32000) КИЕВ-ДЕМЕЕВС - ДАРНИЦА")</f>
        <v>3602 (32010-565-32000) КИЕВ-ДЕМЕЕВС - ДАРНИЦА</v>
      </c>
      <c r="K168">
        <f ca="1">IFERROR(__xludf.DUMMYFUNCTION("""COMPUTED_VALUE"""),32010)</f>
        <v>32010</v>
      </c>
      <c r="L168" t="str">
        <f ca="1">IFERROR(__xludf.DUMMYFUNCTION("""COMPUTED_VALUE"""),"КИЕВ-ДЕМЕЕВС")</f>
        <v>КИЕВ-ДЕМЕЕВС</v>
      </c>
      <c r="M168" t="str">
        <f ca="1">IFERROR(__xludf.DUMMYFUNCTION("""COMPUTED_VALUE"""),"11.08.21 18-20")</f>
        <v>11.08.21 18-20</v>
      </c>
      <c r="N168" t="str">
        <f ca="1">IFERROR(__xludf.DUMMYFUNCTION("""COMPUTED_VALUE"""),"05 ФОРМ")</f>
        <v>05 ФОРМ</v>
      </c>
      <c r="O168">
        <f ca="1">IFERROR(__xludf.DUMMYFUNCTION("""COMPUTED_VALUE"""),46710)</f>
        <v>46710</v>
      </c>
      <c r="P168" t="str">
        <f ca="1">IFERROR(__xludf.DUMMYFUNCTION("""COMPUTED_VALUE"""),"КРИВ.РОГ-СОР")</f>
        <v>КРИВ.РОГ-СОР</v>
      </c>
      <c r="Q168">
        <f ca="1">IFERROR(__xludf.DUMMYFUNCTION("""COMPUTED_VALUE"""),32010)</f>
        <v>32010</v>
      </c>
      <c r="R168" t="str">
        <f ca="1">IFERROR(__xludf.DUMMYFUNCTION("""COMPUTED_VALUE"""),"КИЕВ-ДЕМЕЕВС")</f>
        <v>КИЕВ-ДЕМЕЕВС</v>
      </c>
      <c r="S168" t="str">
        <f ca="1">IFERROR(__xludf.DUMMYFUNCTION("""COMPUTED_VALUE"""),"10.08.21 10-20")</f>
        <v>10.08.21 10-20</v>
      </c>
      <c r="T168">
        <f ca="1">IFERROR(__xludf.DUMMYFUNCTION("""COMPUTED_VALUE"""),5625)</f>
        <v>5625</v>
      </c>
      <c r="U168" t="str">
        <f ca="1">IFERROR(__xludf.DUMMYFUNCTION("""COMPUTED_VALUE"""),"23.08.2021 ДР")</f>
        <v>23.08.2021 ДР</v>
      </c>
      <c r="Z168" t="str">
        <f ca="1">IFERROR(__xludf.DUMMYFUNCTION("""COMPUTED_VALUE"""),"ООО «АУРУМ ТРАНС»")</f>
        <v>ООО «АУРУМ ТРАНС»</v>
      </c>
      <c r="AA168" t="str">
        <f ca="1">IFERROR(__xludf.DUMMYFUNCTION("""COMPUTED_VALUE"""),"12-9790")</f>
        <v>12-9790</v>
      </c>
      <c r="AB168" t="str">
        <f ca="1">IFERROR(__xludf.DUMMYFUNCTION("""COMPUTED_VALUE"""),"48 ДОН")</f>
        <v>48 ДОН</v>
      </c>
      <c r="AC168" t="str">
        <f ca="1">IFERROR(__xludf.DUMMYFUNCTION("""COMPUTED_VALUE"""),"49000 ЛИМАН")</f>
        <v>49000 ЛИМАН</v>
      </c>
      <c r="AD168" t="str">
        <f ca="1">IFERROR(__xludf.DUMMYFUNCTION("""COMPUTED_VALUE"""),"29.12.20 21-25")</f>
        <v>29.12.20 21-25</v>
      </c>
      <c r="AE168" t="str">
        <f ca="1">IFERROR(__xludf.DUMMYFUNCTION("""COMPUTED_VALUE"""),"381 OБPЫВ/ТPEЩИНA МAЯТНИКОВОЙ ПOДВECКИ")</f>
        <v>381 OБPЫВ/ТPEЩИНA МAЯТНИКОВОЙ ПOДВECКИ</v>
      </c>
      <c r="AF168" t="str">
        <f ca="1">IFERROR(__xludf.DUMMYFUNCTION("""COMPUTED_VALUE"""),"48 ДОН")</f>
        <v>48 ДОН</v>
      </c>
      <c r="AG168" t="str">
        <f ca="1">IFERROR(__xludf.DUMMYFUNCTION("""COMPUTED_VALUE"""),"49000 ЛИМАН")</f>
        <v>49000 ЛИМАН</v>
      </c>
      <c r="AH168" t="str">
        <f ca="1">IFERROR(__xludf.DUMMYFUNCTION("""COMPUTED_VALUE"""),"31.12.20 17-00")</f>
        <v>31.12.20 17-00</v>
      </c>
      <c r="AI168" s="21">
        <f ca="1">IFERROR(__xludf.DUMMYFUNCTION("""COMPUTED_VALUE"""),44420.3576736111)</f>
        <v>44420.357673611099</v>
      </c>
    </row>
    <row r="169" spans="1:35" ht="13" x14ac:dyDescent="0.15">
      <c r="A169">
        <f ca="1">IFERROR(__xludf.DUMMYFUNCTION("""COMPUTED_VALUE"""),595)</f>
        <v>595</v>
      </c>
      <c r="B169" t="str">
        <f ca="1">IFERROR(__xludf.DUMMYFUNCTION("""COMPUTED_VALUE"""),"Техрейс")</f>
        <v>Техрейс</v>
      </c>
      <c r="C169" t="str">
        <f ca="1">IFERROR(__xludf.DUMMYFUNCTION("""COMPUTED_VALUE"""),"Аурум Транс")</f>
        <v>Аурум Транс</v>
      </c>
      <c r="D169">
        <f ca="1">IFERROR(__xludf.DUMMYFUNCTION("""COMPUTED_VALUE"""),57446338)</f>
        <v>57446338</v>
      </c>
      <c r="E169" t="str">
        <f ca="1">IFERROR(__xludf.DUMMYFUNCTION("""COMPUTED_VALUE"""),"60 ПОЛУВАГОНЫ")</f>
        <v>60 ПОЛУВАГОНЫ</v>
      </c>
      <c r="F169">
        <f ca="1">IFERROR(__xludf.DUMMYFUNCTION("""COMPUTED_VALUE"""),42119)</f>
        <v>42119</v>
      </c>
      <c r="G169" t="str">
        <f ca="1">IFERROR(__xludf.DUMMYFUNCTION("""COMPUTED_VALUE"""),"ВАГОНЫ ЖД РЕМОН")</f>
        <v>ВАГОНЫ ЖД РЕМОН</v>
      </c>
      <c r="H169">
        <f ca="1">IFERROR(__xludf.DUMMYFUNCTION("""COMPUTED_VALUE"""),0)</f>
        <v>0</v>
      </c>
      <c r="I169">
        <f ca="1">IFERROR(__xludf.DUMMYFUNCTION("""COMPUTED_VALUE"""),2820)</f>
        <v>2820</v>
      </c>
      <c r="J169" t="str">
        <f ca="1">IFERROR(__xludf.DUMMYFUNCTION("""COMPUTED_VALUE"""),"3709 (45600-014-45640) ЗАПОРОЖЬЕ-КА - ВЕРХОВЦЕВО")</f>
        <v>3709 (45600-014-45640) ЗАПОРОЖЬЕ-КА - ВЕРХОВЦЕВО</v>
      </c>
      <c r="K169">
        <f ca="1">IFERROR(__xludf.DUMMYFUNCTION("""COMPUTED_VALUE"""),45640)</f>
        <v>45640</v>
      </c>
      <c r="L169" t="str">
        <f ca="1">IFERROR(__xludf.DUMMYFUNCTION("""COMPUTED_VALUE"""),"ВЕРХОВЦЕВО")</f>
        <v>ВЕРХОВЦЕВО</v>
      </c>
      <c r="M169" t="str">
        <f ca="1">IFERROR(__xludf.DUMMYFUNCTION("""COMPUTED_VALUE"""),"12.08.21 06-25")</f>
        <v>12.08.21 06-25</v>
      </c>
      <c r="N169" t="str">
        <f ca="1">IFERROR(__xludf.DUMMYFUNCTION("""COMPUTED_VALUE"""),"01 ПРИБ")</f>
        <v>01 ПРИБ</v>
      </c>
      <c r="O169">
        <f ca="1">IFERROR(__xludf.DUMMYFUNCTION("""COMPUTED_VALUE"""),46710)</f>
        <v>46710</v>
      </c>
      <c r="P169" t="str">
        <f ca="1">IFERROR(__xludf.DUMMYFUNCTION("""COMPUTED_VALUE"""),"КРИВ.РОГ-СОР")</f>
        <v>КРИВ.РОГ-СОР</v>
      </c>
      <c r="Q169">
        <f ca="1">IFERROR(__xludf.DUMMYFUNCTION("""COMPUTED_VALUE"""),45600)</f>
        <v>45600</v>
      </c>
      <c r="R169" t="str">
        <f ca="1">IFERROR(__xludf.DUMMYFUNCTION("""COMPUTED_VALUE"""),"ЗАПОРОЖЬЕ-КА")</f>
        <v>ЗАПОРОЖЬЕ-КА</v>
      </c>
      <c r="S169" t="str">
        <f ca="1">IFERROR(__xludf.DUMMYFUNCTION("""COMPUTED_VALUE"""),"10.08.21 16-20")</f>
        <v>10.08.21 16-20</v>
      </c>
      <c r="T169">
        <f ca="1">IFERROR(__xludf.DUMMYFUNCTION("""COMPUTED_VALUE"""),8200)</f>
        <v>8200</v>
      </c>
      <c r="U169" t="str">
        <f ca="1">IFERROR(__xludf.DUMMYFUNCTION("""COMPUTED_VALUE"""),"29.08.2021 ДР")</f>
        <v>29.08.2021 ДР</v>
      </c>
      <c r="Z169" t="str">
        <f ca="1">IFERROR(__xludf.DUMMYFUNCTION("""COMPUTED_VALUE"""),"ООО «АУРУМ ТРАНС»")</f>
        <v>ООО «АУРУМ ТРАНС»</v>
      </c>
      <c r="AA169" t="str">
        <f ca="1">IFERROR(__xludf.DUMMYFUNCTION("""COMPUTED_VALUE"""),"12-9790")</f>
        <v>12-9790</v>
      </c>
      <c r="AB169" t="str">
        <f ca="1">IFERROR(__xludf.DUMMYFUNCTION("""COMPUTED_VALUE"""),"45 ПРИДН")</f>
        <v>45 ПРИДН</v>
      </c>
      <c r="AC169" t="str">
        <f ca="1">IFERROR(__xludf.DUMMYFUNCTION("""COMPUTED_VALUE"""),"47660 ДНЕПРОРУДНАЯ")</f>
        <v>47660 ДНЕПРОРУДНАЯ</v>
      </c>
      <c r="AD169" t="str">
        <f ca="1">IFERROR(__xludf.DUMMYFUNCTION("""COMPUTED_VALUE"""),"20.03.21 12-00")</f>
        <v>20.03.21 12-00</v>
      </c>
      <c r="AE169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69" t="str">
        <f ca="1">IFERROR(__xludf.DUMMYFUNCTION("""COMPUTED_VALUE"""),"45 ПРИДН")</f>
        <v>45 ПРИДН</v>
      </c>
      <c r="AG169" t="str">
        <f ca="1">IFERROR(__xludf.DUMMYFUNCTION("""COMPUTED_VALUE"""),"47660 ДНЕПРОРУДНАЯ")</f>
        <v>47660 ДНЕПРОРУДНАЯ</v>
      </c>
      <c r="AH169" t="str">
        <f ca="1">IFERROR(__xludf.DUMMYFUNCTION("""COMPUTED_VALUE"""),"22.03.21 05-00")</f>
        <v>22.03.21 05-00</v>
      </c>
      <c r="AI169" s="21">
        <f ca="1">IFERROR(__xludf.DUMMYFUNCTION("""COMPUTED_VALUE"""),44420.3576736111)</f>
        <v>44420.357673611099</v>
      </c>
    </row>
    <row r="170" spans="1:35" ht="13" x14ac:dyDescent="0.15">
      <c r="A170">
        <f ca="1">IFERROR(__xludf.DUMMYFUNCTION("""COMPUTED_VALUE"""),596)</f>
        <v>596</v>
      </c>
      <c r="B170" t="str">
        <f ca="1">IFERROR(__xludf.DUMMYFUNCTION("""COMPUTED_VALUE"""),"Техрейс")</f>
        <v>Техрейс</v>
      </c>
      <c r="C170" t="str">
        <f ca="1">IFERROR(__xludf.DUMMYFUNCTION("""COMPUTED_VALUE"""),"Аурум Транс")</f>
        <v>Аурум Транс</v>
      </c>
      <c r="D170">
        <f ca="1">IFERROR(__xludf.DUMMYFUNCTION("""COMPUTED_VALUE"""),61034146)</f>
        <v>61034146</v>
      </c>
      <c r="E170" t="str">
        <f ca="1">IFERROR(__xludf.DUMMYFUNCTION("""COMPUTED_VALUE"""),"60 ПОЛУВАГОНЫ")</f>
        <v>60 ПОЛУВАГОНЫ</v>
      </c>
      <c r="F170">
        <f ca="1">IFERROR(__xludf.DUMMYFUNCTION("""COMPUTED_VALUE"""),24132)</f>
        <v>24132</v>
      </c>
      <c r="G170" t="str">
        <f ca="1">IFERROR(__xludf.DUMMYFUNCTION("""COMPUTED_VALUE"""),"КАМЕНЬ ГИПСОВ")</f>
        <v>КАМЕНЬ ГИПСОВ</v>
      </c>
      <c r="H170">
        <f ca="1">IFERROR(__xludf.DUMMYFUNCTION("""COMPUTED_VALUE"""),70)</f>
        <v>70</v>
      </c>
      <c r="I170">
        <f ca="1">IFERROR(__xludf.DUMMYFUNCTION("""COMPUTED_VALUE"""),3203)</f>
        <v>3203</v>
      </c>
      <c r="J170" t="str">
        <f ca="1">IFERROR(__xludf.DUMMYFUNCTION("""COMPUTED_VALUE"""),"9507 (49000-770-41510) ЛИМАН - НИКОЛАЕВ")</f>
        <v>9507 (49000-770-41510) ЛИМАН - НИКОЛАЕВ</v>
      </c>
      <c r="K170">
        <f ca="1">IFERROR(__xludf.DUMMYFUNCTION("""COMPUTED_VALUE"""),45000)</f>
        <v>45000</v>
      </c>
      <c r="L170" t="str">
        <f ca="1">IFERROR(__xludf.DUMMYFUNCTION("""COMPUTED_VALUE"""),"НИЖНЕДН-УЗЕЛ")</f>
        <v>НИЖНЕДН-УЗЕЛ</v>
      </c>
      <c r="M170" t="str">
        <f ca="1">IFERROR(__xludf.DUMMYFUNCTION("""COMPUTED_VALUE"""),"12.08.21 08-15")</f>
        <v>12.08.21 08-15</v>
      </c>
      <c r="N170" t="str">
        <f ca="1">IFERROR(__xludf.DUMMYFUNCTION("""COMPUTED_VALUE"""),"51 ПРИБ")</f>
        <v>51 ПРИБ</v>
      </c>
      <c r="O170">
        <f ca="1">IFERROR(__xludf.DUMMYFUNCTION("""COMPUTED_VALUE"""),41680)</f>
        <v>41680</v>
      </c>
      <c r="P170" t="str">
        <f ca="1">IFERROR(__xludf.DUMMYFUNCTION("""COMPUTED_VALUE"""),"КАХОВКА")</f>
        <v>КАХОВКА</v>
      </c>
      <c r="Q170">
        <f ca="1">IFERROR(__xludf.DUMMYFUNCTION("""COMPUTED_VALUE"""),49480)</f>
        <v>49480</v>
      </c>
      <c r="R170" t="str">
        <f ca="1">IFERROR(__xludf.DUMMYFUNCTION("""COMPUTED_VALUE"""),"СОЛЬ")</f>
        <v>СОЛЬ</v>
      </c>
      <c r="S170" t="str">
        <f ca="1">IFERROR(__xludf.DUMMYFUNCTION("""COMPUTED_VALUE"""),"10.08.21 02-25")</f>
        <v>10.08.21 02-25</v>
      </c>
      <c r="T170">
        <f ca="1">IFERROR(__xludf.DUMMYFUNCTION("""COMPUTED_VALUE"""),5377)</f>
        <v>5377</v>
      </c>
      <c r="U170" t="str">
        <f ca="1">IFERROR(__xludf.DUMMYFUNCTION("""COMPUTED_VALUE"""),"23.07.2024 КР")</f>
        <v>23.07.2024 КР</v>
      </c>
      <c r="Z170" t="str">
        <f ca="1">IFERROR(__xludf.DUMMYFUNCTION("""COMPUTED_VALUE"""),"ООО «АУРУМ ТРАНС»")</f>
        <v>ООО «АУРУМ ТРАНС»</v>
      </c>
      <c r="AA170" t="str">
        <f ca="1">IFERROR(__xludf.DUMMYFUNCTION("""COMPUTED_VALUE"""),"12-9790")</f>
        <v>12-9790</v>
      </c>
      <c r="AB170" t="str">
        <f ca="1">IFERROR(__xludf.DUMMYFUNCTION("""COMPUTED_VALUE"""),"45 ПРИДН")</f>
        <v>45 ПРИДН</v>
      </c>
      <c r="AC170" t="str">
        <f ca="1">IFERROR(__xludf.DUMMYFUNCTION("""COMPUTED_VALUE"""),"46710 КРИВ.РОГ-СОР")</f>
        <v>46710 КРИВ.РОГ-СОР</v>
      </c>
      <c r="AD170" t="str">
        <f ca="1">IFERROR(__xludf.DUMMYFUNCTION("""COMPUTED_VALUE"""),"22.06.21 14-42")</f>
        <v>22.06.21 14-42</v>
      </c>
      <c r="AE170" t="str">
        <f ca="1">IFERROR(__xludf.DUMMYFUNCTION("""COMPUTED_VALUE"""),"570 ИCТEК КAЛЕНДАРНЫЙ CPOК ДEПOВCКОГО PEМOНТA")</f>
        <v>570 ИCТEК КAЛЕНДАРНЫЙ CPOК ДEПOВCКОГО PEМOНТA</v>
      </c>
      <c r="AF170" t="str">
        <f ca="1">IFERROR(__xludf.DUMMYFUNCTION("""COMPUTED_VALUE"""),"45 ПРИДН")</f>
        <v>45 ПРИДН</v>
      </c>
      <c r="AG170" t="str">
        <f ca="1">IFERROR(__xludf.DUMMYFUNCTION("""COMPUTED_VALUE"""),"46710 КРИВ.РОГ-СОР")</f>
        <v>46710 КРИВ.РОГ-СОР</v>
      </c>
      <c r="AH170" t="str">
        <f ca="1">IFERROR(__xludf.DUMMYFUNCTION("""COMPUTED_VALUE"""),"23.07.21 12-46")</f>
        <v>23.07.21 12-46</v>
      </c>
      <c r="AI170" s="21">
        <f ca="1">IFERROR(__xludf.DUMMYFUNCTION("""COMPUTED_VALUE"""),44420.3576736111)</f>
        <v>44420.357673611099</v>
      </c>
    </row>
    <row r="171" spans="1:35" ht="13" x14ac:dyDescent="0.15">
      <c r="A171">
        <f ca="1">IFERROR(__xludf.DUMMYFUNCTION("""COMPUTED_VALUE"""),597)</f>
        <v>597</v>
      </c>
      <c r="B171" t="str">
        <f ca="1">IFERROR(__xludf.DUMMYFUNCTION("""COMPUTED_VALUE"""),"Техрейс")</f>
        <v>Техрейс</v>
      </c>
      <c r="C171" t="str">
        <f ca="1">IFERROR(__xludf.DUMMYFUNCTION("""COMPUTED_VALUE"""),"Аурум Транс")</f>
        <v>Аурум Транс</v>
      </c>
      <c r="D171">
        <f ca="1">IFERROR(__xludf.DUMMYFUNCTION("""COMPUTED_VALUE"""),61034849)</f>
        <v>61034849</v>
      </c>
      <c r="E171" t="str">
        <f ca="1">IFERROR(__xludf.DUMMYFUNCTION("""COMPUTED_VALUE"""),"60 ПОЛУВАГОНЫ")</f>
        <v>60 ПОЛУВАГОНЫ</v>
      </c>
      <c r="F171">
        <f ca="1">IFERROR(__xludf.DUMMYFUNCTION("""COMPUTED_VALUE"""),24132)</f>
        <v>24132</v>
      </c>
      <c r="G171" t="str">
        <f ca="1">IFERROR(__xludf.DUMMYFUNCTION("""COMPUTED_VALUE"""),"КАМЕНЬ ГИПСОВ")</f>
        <v>КАМЕНЬ ГИПСОВ</v>
      </c>
      <c r="H171">
        <f ca="1">IFERROR(__xludf.DUMMYFUNCTION("""COMPUTED_VALUE"""),70)</f>
        <v>70</v>
      </c>
      <c r="I171">
        <f ca="1">IFERROR(__xludf.DUMMYFUNCTION("""COMPUTED_VALUE"""),3203)</f>
        <v>3203</v>
      </c>
      <c r="J171" t="str">
        <f ca="1">IFERROR(__xludf.DUMMYFUNCTION("""COMPUTED_VALUE"""),"9507 (49000-770-41510) ЛИМАН - НИКОЛАЕВ")</f>
        <v>9507 (49000-770-41510) ЛИМАН - НИКОЛАЕВ</v>
      </c>
      <c r="K171">
        <f ca="1">IFERROR(__xludf.DUMMYFUNCTION("""COMPUTED_VALUE"""),45000)</f>
        <v>45000</v>
      </c>
      <c r="L171" t="str">
        <f ca="1">IFERROR(__xludf.DUMMYFUNCTION("""COMPUTED_VALUE"""),"НИЖНЕДН-УЗЕЛ")</f>
        <v>НИЖНЕДН-УЗЕЛ</v>
      </c>
      <c r="M171" t="str">
        <f ca="1">IFERROR(__xludf.DUMMYFUNCTION("""COMPUTED_VALUE"""),"12.08.21 08-15")</f>
        <v>12.08.21 08-15</v>
      </c>
      <c r="N171" t="str">
        <f ca="1">IFERROR(__xludf.DUMMYFUNCTION("""COMPUTED_VALUE"""),"51 ПРИБ")</f>
        <v>51 ПРИБ</v>
      </c>
      <c r="O171">
        <f ca="1">IFERROR(__xludf.DUMMYFUNCTION("""COMPUTED_VALUE"""),41680)</f>
        <v>41680</v>
      </c>
      <c r="P171" t="str">
        <f ca="1">IFERROR(__xludf.DUMMYFUNCTION("""COMPUTED_VALUE"""),"КАХОВКА")</f>
        <v>КАХОВКА</v>
      </c>
      <c r="Q171">
        <f ca="1">IFERROR(__xludf.DUMMYFUNCTION("""COMPUTED_VALUE"""),49480)</f>
        <v>49480</v>
      </c>
      <c r="R171" t="str">
        <f ca="1">IFERROR(__xludf.DUMMYFUNCTION("""COMPUTED_VALUE"""),"СОЛЬ")</f>
        <v>СОЛЬ</v>
      </c>
      <c r="S171" t="str">
        <f ca="1">IFERROR(__xludf.DUMMYFUNCTION("""COMPUTED_VALUE"""),"10.08.21 02-25")</f>
        <v>10.08.21 02-25</v>
      </c>
      <c r="T171">
        <f ca="1">IFERROR(__xludf.DUMMYFUNCTION("""COMPUTED_VALUE"""),5377)</f>
        <v>5377</v>
      </c>
      <c r="U171" t="str">
        <f ca="1">IFERROR(__xludf.DUMMYFUNCTION("""COMPUTED_VALUE"""),"23.07.2024 КР")</f>
        <v>23.07.2024 КР</v>
      </c>
      <c r="Z171" t="str">
        <f ca="1">IFERROR(__xludf.DUMMYFUNCTION("""COMPUTED_VALUE"""),"ООО «АУРУМ ТРАНС»")</f>
        <v>ООО «АУРУМ ТРАНС»</v>
      </c>
      <c r="AA171" t="str">
        <f ca="1">IFERROR(__xludf.DUMMYFUNCTION("""COMPUTED_VALUE"""),"12-9790")</f>
        <v>12-9790</v>
      </c>
      <c r="AB171" t="str">
        <f ca="1">IFERROR(__xludf.DUMMYFUNCTION("""COMPUTED_VALUE"""),"45 ПРИДН")</f>
        <v>45 ПРИДН</v>
      </c>
      <c r="AC171" t="str">
        <f ca="1">IFERROR(__xludf.DUMMYFUNCTION("""COMPUTED_VALUE"""),"46710 КРИВ.РОГ-СОР")</f>
        <v>46710 КРИВ.РОГ-СОР</v>
      </c>
      <c r="AD171" t="str">
        <f ca="1">IFERROR(__xludf.DUMMYFUNCTION("""COMPUTED_VALUE"""),"22.06.21 07-55")</f>
        <v>22.06.21 07-55</v>
      </c>
      <c r="AE171" t="str">
        <f ca="1">IFERROR(__xludf.DUMMYFUNCTION("""COMPUTED_VALUE"""),"570 ИCТEК КAЛЕНДАРНЫЙ CPOК ДEПOВCКОГО PEМOНТA")</f>
        <v>570 ИCТEК КAЛЕНДАРНЫЙ CPOК ДEПOВCКОГО PEМOНТA</v>
      </c>
      <c r="AF171" t="str">
        <f ca="1">IFERROR(__xludf.DUMMYFUNCTION("""COMPUTED_VALUE"""),"45 ПРИДН")</f>
        <v>45 ПРИДН</v>
      </c>
      <c r="AG171" t="str">
        <f ca="1">IFERROR(__xludf.DUMMYFUNCTION("""COMPUTED_VALUE"""),"46710 КРИВ.РОГ-СОР")</f>
        <v>46710 КРИВ.РОГ-СОР</v>
      </c>
      <c r="AH171" t="str">
        <f ca="1">IFERROR(__xludf.DUMMYFUNCTION("""COMPUTED_VALUE"""),"23.07.21 12-43")</f>
        <v>23.07.21 12-43</v>
      </c>
      <c r="AI171" s="21">
        <f ca="1">IFERROR(__xludf.DUMMYFUNCTION("""COMPUTED_VALUE"""),44420.3576736111)</f>
        <v>44420.357673611099</v>
      </c>
    </row>
    <row r="172" spans="1:35" ht="13" x14ac:dyDescent="0.15">
      <c r="A172">
        <f ca="1">IFERROR(__xludf.DUMMYFUNCTION("""COMPUTED_VALUE"""),599)</f>
        <v>599</v>
      </c>
      <c r="B172" t="str">
        <f ca="1">IFERROR(__xludf.DUMMYFUNCTION("""COMPUTED_VALUE"""),"Техрейс")</f>
        <v>Техрейс</v>
      </c>
      <c r="C172" t="str">
        <f ca="1">IFERROR(__xludf.DUMMYFUNCTION("""COMPUTED_VALUE"""),"Аурум Транс")</f>
        <v>Аурум Транс</v>
      </c>
      <c r="D172">
        <f ca="1">IFERROR(__xludf.DUMMYFUNCTION("""COMPUTED_VALUE"""),61397907)</f>
        <v>61397907</v>
      </c>
      <c r="E172" t="str">
        <f ca="1">IFERROR(__xludf.DUMMYFUNCTION("""COMPUTED_VALUE"""),"60 ПОЛУВАГОНЫ")</f>
        <v>60 ПОЛУВАГОНЫ</v>
      </c>
      <c r="F172">
        <f ca="1">IFERROR(__xludf.DUMMYFUNCTION("""COMPUTED_VALUE"""),42103)</f>
        <v>42103</v>
      </c>
      <c r="G172" t="str">
        <f ca="1">IFERROR(__xludf.DUMMYFUNCTION("""COMPUTED_VALUE"""),"ВАГОНЫ ЖД СВ")</f>
        <v>ВАГОНЫ ЖД СВ</v>
      </c>
      <c r="H172">
        <f ca="1">IFERROR(__xludf.DUMMYFUNCTION("""COMPUTED_VALUE"""),0)</f>
        <v>0</v>
      </c>
      <c r="I172">
        <f ca="1">IFERROR(__xludf.DUMMYFUNCTION("""COMPUTED_VALUE"""),4305)</f>
        <v>4305</v>
      </c>
      <c r="J172" t="str">
        <f ca="1">IFERROR(__xludf.DUMMYFUNCTION("""COMPUTED_VALUE"""),"2902 (41000-535-42500) ЗНАМЕНКА - КРЕМЕНЧУГ")</f>
        <v>2902 (41000-535-42500) ЗНАМЕНКА - КРЕМЕНЧУГ</v>
      </c>
      <c r="K172">
        <f ca="1">IFERROR(__xludf.DUMMYFUNCTION("""COMPUTED_VALUE"""),41030)</f>
        <v>41030</v>
      </c>
      <c r="L172" t="str">
        <f ca="1">IFERROR(__xludf.DUMMYFUNCTION("""COMPUTED_VALUE"""),"КОРИСТОВКА")</f>
        <v>КОРИСТОВКА</v>
      </c>
      <c r="M172" t="str">
        <f ca="1">IFERROR(__xludf.DUMMYFUNCTION("""COMPUTED_VALUE"""),"12.08.21 08-13")</f>
        <v>12.08.21 08-13</v>
      </c>
      <c r="N172" t="str">
        <f ca="1">IFERROR(__xludf.DUMMYFUNCTION("""COMPUTED_VALUE"""),"09 ГОТ")</f>
        <v>09 ГОТ</v>
      </c>
      <c r="O172">
        <f ca="1">IFERROR(__xludf.DUMMYFUNCTION("""COMPUTED_VALUE"""),42500)</f>
        <v>42500</v>
      </c>
      <c r="P172" t="str">
        <f ca="1">IFERROR(__xludf.DUMMYFUNCTION("""COMPUTED_VALUE"""),"КРЕМЕНЧУГ")</f>
        <v>КРЕМЕНЧУГ</v>
      </c>
      <c r="Q172">
        <f ca="1">IFERROR(__xludf.DUMMYFUNCTION("""COMPUTED_VALUE"""),42420)</f>
        <v>42420</v>
      </c>
      <c r="R172" t="str">
        <f ca="1">IFERROR(__xludf.DUMMYFUNCTION("""COMPUTED_VALUE"""),"ЧЕРКАССЫ")</f>
        <v>ЧЕРКАССЫ</v>
      </c>
      <c r="S172" t="str">
        <f ca="1">IFERROR(__xludf.DUMMYFUNCTION("""COMPUTED_VALUE"""),"09.08.21 19-20")</f>
        <v>09.08.21 19-20</v>
      </c>
      <c r="T172">
        <f ca="1">IFERROR(__xludf.DUMMYFUNCTION("""COMPUTED_VALUE"""),8200)</f>
        <v>8200</v>
      </c>
      <c r="U172" t="str">
        <f ca="1">IFERROR(__xludf.DUMMYFUNCTION("""COMPUTED_VALUE"""),"12.10.2021 ДР")</f>
        <v>12.10.2021 ДР</v>
      </c>
      <c r="Z172" t="str">
        <f ca="1">IFERROR(__xludf.DUMMYFUNCTION("""COMPUTED_VALUE"""),"ООО «АУРУМ ТРАНС»")</f>
        <v>ООО «АУРУМ ТРАНС»</v>
      </c>
      <c r="AA172" t="str">
        <f ca="1">IFERROR(__xludf.DUMMYFUNCTION("""COMPUTED_VALUE"""),"12-9790")</f>
        <v>12-9790</v>
      </c>
      <c r="AB172" t="str">
        <f ca="1">IFERROR(__xludf.DUMMYFUNCTION("""COMPUTED_VALUE"""),"35 ЛЬВ")</f>
        <v>35 ЛЬВ</v>
      </c>
      <c r="AC172" t="str">
        <f ca="1">IFERROR(__xludf.DUMMYFUNCTION("""COMPUTED_VALUE"""),"38250 БАТЕВО")</f>
        <v>38250 БАТЕВО</v>
      </c>
      <c r="AD172" t="str">
        <f ca="1">IFERROR(__xludf.DUMMYFUNCTION("""COMPUTED_VALUE"""),"22.07.21 14-10")</f>
        <v>22.07.21 14-10</v>
      </c>
      <c r="AE172" t="str">
        <f ca="1">IFERROR(__xludf.DUMMYFUNCTION("""COMPUTED_VALUE"""),"531 ПOВPEЖДEНИE OБШИВКИ КУЗOВA")</f>
        <v>531 ПOВPEЖДEНИE OБШИВКИ КУЗOВA</v>
      </c>
      <c r="AF172" t="str">
        <f ca="1">IFERROR(__xludf.DUMMYFUNCTION("""COMPUTED_VALUE"""),"35 ЛЬВ")</f>
        <v>35 ЛЬВ</v>
      </c>
      <c r="AG172" t="str">
        <f ca="1">IFERROR(__xludf.DUMMYFUNCTION("""COMPUTED_VALUE"""),"38250 БАТЕВО")</f>
        <v>38250 БАТЕВО</v>
      </c>
      <c r="AH172" t="str">
        <f ca="1">IFERROR(__xludf.DUMMYFUNCTION("""COMPUTED_VALUE"""),"24.07.21 13-30")</f>
        <v>24.07.21 13-30</v>
      </c>
      <c r="AI172" s="21">
        <f ca="1">IFERROR(__xludf.DUMMYFUNCTION("""COMPUTED_VALUE"""),44420.3576736111)</f>
        <v>44420.357673611099</v>
      </c>
    </row>
    <row r="173" spans="1:35" ht="13" x14ac:dyDescent="0.15">
      <c r="A173">
        <f ca="1">IFERROR(__xludf.DUMMYFUNCTION("""COMPUTED_VALUE"""),602)</f>
        <v>602</v>
      </c>
      <c r="B173" t="str">
        <f ca="1">IFERROR(__xludf.DUMMYFUNCTION("""COMPUTED_VALUE"""),"Техрейс")</f>
        <v>Техрейс</v>
      </c>
      <c r="C173" t="str">
        <f ca="1">IFERROR(__xludf.DUMMYFUNCTION("""COMPUTED_VALUE"""),"Аурум Транс")</f>
        <v>Аурум Транс</v>
      </c>
      <c r="D173">
        <f ca="1">IFERROR(__xludf.DUMMYFUNCTION("""COMPUTED_VALUE"""),62078415)</f>
        <v>62078415</v>
      </c>
      <c r="E173" t="str">
        <f ca="1">IFERROR(__xludf.DUMMYFUNCTION("""COMPUTED_VALUE"""),"60 ПОЛУВАГОНЫ")</f>
        <v>60 ПОЛУВАГОНЫ</v>
      </c>
      <c r="F173">
        <f ca="1">IFERROR(__xludf.DUMMYFUNCTION("""COMPUTED_VALUE"""),42103)</f>
        <v>42103</v>
      </c>
      <c r="G173" t="str">
        <f ca="1">IFERROR(__xludf.DUMMYFUNCTION("""COMPUTED_VALUE"""),"ВАГОНЫ ЖД СВ")</f>
        <v>ВАГОНЫ ЖД СВ</v>
      </c>
      <c r="H173">
        <f ca="1">IFERROR(__xludf.DUMMYFUNCTION("""COMPUTED_VALUE"""),0)</f>
        <v>0</v>
      </c>
      <c r="I173">
        <f ca="1">IFERROR(__xludf.DUMMYFUNCTION("""COMPUTED_VALUE"""),9259)</f>
        <v>9259</v>
      </c>
      <c r="J173" t="str">
        <f ca="1">IFERROR(__xludf.DUMMYFUNCTION("""COMPUTED_VALUE"""),"1111 (33070-009-33060) ХМЕЛЬНИЦКИЙ - ГРЕЧАНЫ")</f>
        <v>1111 (33070-009-33060) ХМЕЛЬНИЦКИЙ - ГРЕЧАНЫ</v>
      </c>
      <c r="K173">
        <f ca="1">IFERROR(__xludf.DUMMYFUNCTION("""COMPUTED_VALUE"""),33070)</f>
        <v>33070</v>
      </c>
      <c r="L173" t="str">
        <f ca="1">IFERROR(__xludf.DUMMYFUNCTION("""COMPUTED_VALUE"""),"ХМЕЛЬНИЦКИЙ")</f>
        <v>ХМЕЛЬНИЦКИЙ</v>
      </c>
      <c r="M173" t="str">
        <f ca="1">IFERROR(__xludf.DUMMYFUNCTION("""COMPUTED_VALUE"""),"11.08.21 18-10")</f>
        <v>11.08.21 18-10</v>
      </c>
      <c r="N173" t="str">
        <f ca="1">IFERROR(__xludf.DUMMYFUNCTION("""COMPUTED_VALUE"""),"05 ФОРМ")</f>
        <v>05 ФОРМ</v>
      </c>
      <c r="O173">
        <f ca="1">IFERROR(__xludf.DUMMYFUNCTION("""COMPUTED_VALUE"""),33290)</f>
        <v>33290</v>
      </c>
      <c r="P173" t="str">
        <f ca="1">IFERROR(__xludf.DUMMYFUNCTION("""COMPUTED_VALUE"""),"КАМЕНЕЦ-ПОД")</f>
        <v>КАМЕНЕЦ-ПОД</v>
      </c>
      <c r="Q173">
        <f ca="1">IFERROR(__xludf.DUMMYFUNCTION("""COMPUTED_VALUE"""),33070)</f>
        <v>33070</v>
      </c>
      <c r="R173" t="str">
        <f ca="1">IFERROR(__xludf.DUMMYFUNCTION("""COMPUTED_VALUE"""),"ХМЕЛЬНИЦКИЙ")</f>
        <v>ХМЕЛЬНИЦКИЙ</v>
      </c>
      <c r="S173" t="str">
        <f ca="1">IFERROR(__xludf.DUMMYFUNCTION("""COMPUTED_VALUE"""),"09.08.21 16-40")</f>
        <v>09.08.21 16-40</v>
      </c>
      <c r="T173">
        <f ca="1">IFERROR(__xludf.DUMMYFUNCTION("""COMPUTED_VALUE"""),8200)</f>
        <v>8200</v>
      </c>
      <c r="U173" t="str">
        <f ca="1">IFERROR(__xludf.DUMMYFUNCTION("""COMPUTED_VALUE"""),"08.09.2023 ДР")</f>
        <v>08.09.2023 ДР</v>
      </c>
      <c r="Z173" t="str">
        <f ca="1">IFERROR(__xludf.DUMMYFUNCTION("""COMPUTED_VALUE"""),"ООО «АУРУМ ТРАНС»")</f>
        <v>ООО «АУРУМ ТРАНС»</v>
      </c>
      <c r="AA173" t="str">
        <f ca="1">IFERROR(__xludf.DUMMYFUNCTION("""COMPUTED_VALUE"""),"12-9790")</f>
        <v>12-9790</v>
      </c>
      <c r="AB173" t="str">
        <f ca="1">IFERROR(__xludf.DUMMYFUNCTION("""COMPUTED_VALUE"""),"48 ДОН")</f>
        <v>48 ДОН</v>
      </c>
      <c r="AC173" t="str">
        <f ca="1">IFERROR(__xludf.DUMMYFUNCTION("""COMPUTED_VALUE"""),"49870 РУБЕЖНОЕ")</f>
        <v>49870 РУБЕЖНОЕ</v>
      </c>
      <c r="AD173" t="str">
        <f ca="1">IFERROR(__xludf.DUMMYFUNCTION("""COMPUTED_VALUE"""),"25.08.20 10-47")</f>
        <v>25.08.20 10-47</v>
      </c>
      <c r="AE173" t="str">
        <f ca="1">IFERROR(__xludf.DUMMYFUNCTION("""COMPUTED_VALUE"""),"570 ИCТEК КAЛЕНДАРНЫЙ CPOК ДEПOВCКОГО PEМOНТA")</f>
        <v>570 ИCТEК КAЛЕНДАРНЫЙ CPOК ДEПOВCКОГО PEМOНТA</v>
      </c>
      <c r="AF173" t="str">
        <f ca="1">IFERROR(__xludf.DUMMYFUNCTION("""COMPUTED_VALUE"""),"48 ДОН")</f>
        <v>48 ДОН</v>
      </c>
      <c r="AG173" t="str">
        <f ca="1">IFERROR(__xludf.DUMMYFUNCTION("""COMPUTED_VALUE"""),"49870 РУБЕЖНОЕ")</f>
        <v>49870 РУБЕЖНОЕ</v>
      </c>
      <c r="AH173" t="str">
        <f ca="1">IFERROR(__xludf.DUMMYFUNCTION("""COMPUTED_VALUE"""),"08.09.20 15-23")</f>
        <v>08.09.20 15-23</v>
      </c>
      <c r="AI173" s="21">
        <f ca="1">IFERROR(__xludf.DUMMYFUNCTION("""COMPUTED_VALUE"""),44420.3576736111)</f>
        <v>44420.357673611099</v>
      </c>
    </row>
    <row r="174" spans="1:35" ht="13" x14ac:dyDescent="0.15">
      <c r="A174">
        <f ca="1">IFERROR(__xludf.DUMMYFUNCTION("""COMPUTED_VALUE"""),607)</f>
        <v>607</v>
      </c>
      <c r="B174" t="str">
        <f ca="1">IFERROR(__xludf.DUMMYFUNCTION("""COMPUTED_VALUE"""),"Лидер")</f>
        <v>Лидер</v>
      </c>
      <c r="C174" t="str">
        <f ca="1">IFERROR(__xludf.DUMMYFUNCTION("""COMPUTED_VALUE"""),"Аурум Транс")</f>
        <v>Аурум Транс</v>
      </c>
      <c r="D174">
        <f ca="1">IFERROR(__xludf.DUMMYFUNCTION("""COMPUTED_VALUE"""),62959184)</f>
        <v>62959184</v>
      </c>
      <c r="E174" t="str">
        <f ca="1">IFERROR(__xludf.DUMMYFUNCTION("""COMPUTED_VALUE"""),"60 ПОЛУВАГОНЫ")</f>
        <v>60 ПОЛУВАГОНЫ</v>
      </c>
      <c r="F174">
        <f ca="1">IFERROR(__xludf.DUMMYFUNCTION("""COMPUTED_VALUE"""),42103)</f>
        <v>42103</v>
      </c>
      <c r="G174" t="str">
        <f ca="1">IFERROR(__xludf.DUMMYFUNCTION("""COMPUTED_VALUE"""),"ВАГОНЫ ЖД СВ")</f>
        <v>ВАГОНЫ ЖД СВ</v>
      </c>
      <c r="H174">
        <f ca="1">IFERROR(__xludf.DUMMYFUNCTION("""COMPUTED_VALUE"""),0)</f>
        <v>0</v>
      </c>
      <c r="I174">
        <f ca="1">IFERROR(__xludf.DUMMYFUNCTION("""COMPUTED_VALUE"""),7052)</f>
        <v>7052</v>
      </c>
      <c r="J174" t="str">
        <f ca="1">IFERROR(__xludf.DUMMYFUNCTION("""COMPUTED_VALUE"""),"3086 (36000-047-35000) ТЕРНОПОЛЬ - ЗДОЛБУНОВ")</f>
        <v>3086 (36000-047-35000) ТЕРНОПОЛЬ - ЗДОЛБУНОВ</v>
      </c>
      <c r="K174">
        <f ca="1">IFERROR(__xludf.DUMMYFUNCTION("""COMPUTED_VALUE"""),35000)</f>
        <v>35000</v>
      </c>
      <c r="L174" t="str">
        <f ca="1">IFERROR(__xludf.DUMMYFUNCTION("""COMPUTED_VALUE"""),"ЗДОЛБУНОВ")</f>
        <v>ЗДОЛБУНОВ</v>
      </c>
      <c r="M174" t="str">
        <f ca="1">IFERROR(__xludf.DUMMYFUNCTION("""COMPUTED_VALUE"""),"11.08.21 22-02")</f>
        <v>11.08.21 22-02</v>
      </c>
      <c r="N174" t="str">
        <f ca="1">IFERROR(__xludf.DUMMYFUNCTION("""COMPUTED_VALUE"""),"04 РАСФ")</f>
        <v>04 РАСФ</v>
      </c>
      <c r="O174">
        <f ca="1">IFERROR(__xludf.DUMMYFUNCTION("""COMPUTED_VALUE"""),34850)</f>
        <v>34850</v>
      </c>
      <c r="P174" t="str">
        <f ca="1">IFERROR(__xludf.DUMMYFUNCTION("""COMPUTED_VALUE"""),"УШИЦА")</f>
        <v>УШИЦА</v>
      </c>
      <c r="Q174">
        <f ca="1">IFERROR(__xludf.DUMMYFUNCTION("""COMPUTED_VALUE"""),36240)</f>
        <v>36240</v>
      </c>
      <c r="R174" t="str">
        <f ca="1">IFERROR(__xludf.DUMMYFUNCTION("""COMPUTED_VALUE"""),"КОЗОВА")</f>
        <v>КОЗОВА</v>
      </c>
      <c r="S174" t="str">
        <f ca="1">IFERROR(__xludf.DUMMYFUNCTION("""COMPUTED_VALUE"""),"09.08.21 12-50")</f>
        <v>09.08.21 12-50</v>
      </c>
      <c r="T174">
        <f ca="1">IFERROR(__xludf.DUMMYFUNCTION("""COMPUTED_VALUE"""),5633)</f>
        <v>5633</v>
      </c>
      <c r="U174" t="str">
        <f ca="1">IFERROR(__xludf.DUMMYFUNCTION("""COMPUTED_VALUE"""),"07.06.2022 ДР")</f>
        <v>07.06.2022 ДР</v>
      </c>
      <c r="Z174" t="str">
        <f ca="1">IFERROR(__xludf.DUMMYFUNCTION("""COMPUTED_VALUE"""),"ООО «АУРУМ ТРАНС»")</f>
        <v>ООО «АУРУМ ТРАНС»</v>
      </c>
      <c r="AA174" t="str">
        <f ca="1">IFERROR(__xludf.DUMMYFUNCTION("""COMPUTED_VALUE"""),"12-9745")</f>
        <v>12-9745</v>
      </c>
      <c r="AB174" t="str">
        <f ca="1">IFERROR(__xludf.DUMMYFUNCTION("""COMPUTED_VALUE"""),"45 ПРИДН")</f>
        <v>45 ПРИДН</v>
      </c>
      <c r="AC174" t="str">
        <f ca="1">IFERROR(__xludf.DUMMYFUNCTION("""COMPUTED_VALUE"""),"46000 ЗАПОРОЖ-ЛЕВ")</f>
        <v>46000 ЗАПОРОЖ-ЛЕВ</v>
      </c>
      <c r="AD174" t="str">
        <f ca="1">IFERROR(__xludf.DUMMYFUNCTION("""COMPUTED_VALUE"""),"11.04.21 16-05")</f>
        <v>11.04.21 16-05</v>
      </c>
      <c r="AE174" t="str">
        <f ca="1">IFERROR(__xludf.DUMMYFUNCTION("""COMPUTED_VALUE"""),"540 НEИCПPAВНOCТЬ ЗAПOPA ЛЮКA")</f>
        <v>540 НEИCПPAВНOCТЬ ЗAПOPA ЛЮКA</v>
      </c>
      <c r="AF174" t="str">
        <f ca="1">IFERROR(__xludf.DUMMYFUNCTION("""COMPUTED_VALUE"""),"45 ПРИДН")</f>
        <v>45 ПРИДН</v>
      </c>
      <c r="AG174" t="str">
        <f ca="1">IFERROR(__xludf.DUMMYFUNCTION("""COMPUTED_VALUE"""),"46000 ЗАПОРОЖ-ЛЕВ")</f>
        <v>46000 ЗАПОРОЖ-ЛЕВ</v>
      </c>
      <c r="AH174" t="str">
        <f ca="1">IFERROR(__xludf.DUMMYFUNCTION("""COMPUTED_VALUE"""),"13.04.21 14-00")</f>
        <v>13.04.21 14-00</v>
      </c>
      <c r="AI174" s="21">
        <f ca="1">IFERROR(__xludf.DUMMYFUNCTION("""COMPUTED_VALUE"""),44420.3576736111)</f>
        <v>44420.357673611099</v>
      </c>
    </row>
    <row r="175" spans="1:35" ht="13" x14ac:dyDescent="0.15">
      <c r="A175">
        <f ca="1">IFERROR(__xludf.DUMMYFUNCTION("""COMPUTED_VALUE"""),609)</f>
        <v>609</v>
      </c>
      <c r="B175" t="str">
        <f ca="1">IFERROR(__xludf.DUMMYFUNCTION("""COMPUTED_VALUE"""),"Техрейс")</f>
        <v>Техрейс</v>
      </c>
      <c r="C175" t="str">
        <f ca="1">IFERROR(__xludf.DUMMYFUNCTION("""COMPUTED_VALUE"""),"Аурум Транс")</f>
        <v>Аурум Транс</v>
      </c>
      <c r="D175">
        <f ca="1">IFERROR(__xludf.DUMMYFUNCTION("""COMPUTED_VALUE"""),55383962)</f>
        <v>55383962</v>
      </c>
      <c r="E175" t="str">
        <f ca="1">IFERROR(__xludf.DUMMYFUNCTION("""COMPUTED_VALUE"""),"60 ПОЛУВАГОНЫ")</f>
        <v>60 ПОЛУВАГОНЫ</v>
      </c>
      <c r="F175">
        <f ca="1">IFERROR(__xludf.DUMMYFUNCTION("""COMPUTED_VALUE"""),24132)</f>
        <v>24132</v>
      </c>
      <c r="G175" t="str">
        <f ca="1">IFERROR(__xludf.DUMMYFUNCTION("""COMPUTED_VALUE"""),"КАМЕНЬ ГИПСОВ")</f>
        <v>КАМЕНЬ ГИПСОВ</v>
      </c>
      <c r="H175">
        <f ca="1">IFERROR(__xludf.DUMMYFUNCTION("""COMPUTED_VALUE"""),70)</f>
        <v>70</v>
      </c>
      <c r="I175">
        <f ca="1">IFERROR(__xludf.DUMMYFUNCTION("""COMPUTED_VALUE"""),3865)</f>
        <v>3865</v>
      </c>
      <c r="J175" t="str">
        <f ca="1">IFERROR(__xludf.DUMMYFUNCTION("""COMPUTED_VALUE"""),"9507 (49000-770-41510) ЛИМАН - НИКОЛАЕВ")</f>
        <v>9507 (49000-770-41510) ЛИМАН - НИКОЛАЕВ</v>
      </c>
      <c r="K175">
        <f ca="1">IFERROR(__xludf.DUMMYFUNCTION("""COMPUTED_VALUE"""),45000)</f>
        <v>45000</v>
      </c>
      <c r="L175" t="str">
        <f ca="1">IFERROR(__xludf.DUMMYFUNCTION("""COMPUTED_VALUE"""),"НИЖНЕДН-УЗЕЛ")</f>
        <v>НИЖНЕДН-УЗЕЛ</v>
      </c>
      <c r="M175" t="str">
        <f ca="1">IFERROR(__xludf.DUMMYFUNCTION("""COMPUTED_VALUE"""),"12.08.21 08-15")</f>
        <v>12.08.21 08-15</v>
      </c>
      <c r="N175" t="str">
        <f ca="1">IFERROR(__xludf.DUMMYFUNCTION("""COMPUTED_VALUE"""),"51 ПРИБ")</f>
        <v>51 ПРИБ</v>
      </c>
      <c r="O175">
        <f ca="1">IFERROR(__xludf.DUMMYFUNCTION("""COMPUTED_VALUE"""),41780)</f>
        <v>41780</v>
      </c>
      <c r="P175" t="str">
        <f ca="1">IFERROR(__xludf.DUMMYFUNCTION("""COMPUTED_VALUE"""),"ХЕРСОН")</f>
        <v>ХЕРСОН</v>
      </c>
      <c r="Q175">
        <f ca="1">IFERROR(__xludf.DUMMYFUNCTION("""COMPUTED_VALUE"""),49480)</f>
        <v>49480</v>
      </c>
      <c r="R175" t="str">
        <f ca="1">IFERROR(__xludf.DUMMYFUNCTION("""COMPUTED_VALUE"""),"СОЛЬ")</f>
        <v>СОЛЬ</v>
      </c>
      <c r="S175" t="str">
        <f ca="1">IFERROR(__xludf.DUMMYFUNCTION("""COMPUTED_VALUE"""),"10.08.21 02-25")</f>
        <v>10.08.21 02-25</v>
      </c>
      <c r="T175">
        <f ca="1">IFERROR(__xludf.DUMMYFUNCTION("""COMPUTED_VALUE"""),5377)</f>
        <v>5377</v>
      </c>
      <c r="U175" t="str">
        <f ca="1">IFERROR(__xludf.DUMMYFUNCTION("""COMPUTED_VALUE"""),"17.01.2022 КР")</f>
        <v>17.01.2022 КР</v>
      </c>
      <c r="Z175" t="str">
        <f ca="1">IFERROR(__xludf.DUMMYFUNCTION("""COMPUTED_VALUE"""),"ООО «АУРУМ ТРАНС»")</f>
        <v>ООО «АУРУМ ТРАНС»</v>
      </c>
      <c r="AA175" t="str">
        <f ca="1">IFERROR(__xludf.DUMMYFUNCTION("""COMPUTED_VALUE"""),"12-783")</f>
        <v>12-783</v>
      </c>
      <c r="AB175" t="str">
        <f ca="1">IFERROR(__xludf.DUMMYFUNCTION("""COMPUTED_VALUE"""),"45 ПРИДН")</f>
        <v>45 ПРИДН</v>
      </c>
      <c r="AC175" t="str">
        <f ca="1">IFERROR(__xludf.DUMMYFUNCTION("""COMPUTED_VALUE"""),"45580 КАМЕНСКОЕ")</f>
        <v>45580 КАМЕНСКОЕ</v>
      </c>
      <c r="AD175" t="str">
        <f ca="1">IFERROR(__xludf.DUMMYFUNCTION("""COMPUTED_VALUE"""),"14.04.21 15-40")</f>
        <v>14.04.21 15-40</v>
      </c>
      <c r="AE175" t="str">
        <f ca="1">IFERROR(__xludf.DUMMYFUNCTION("""COMPUTED_VALUE"""),"404 НEИCПPAВНОСТЬ ТOPМOЗНOГO ЦИЛИНДPA")</f>
        <v>404 НEИCПPAВНОСТЬ ТOPМOЗНOГO ЦИЛИНДPA</v>
      </c>
      <c r="AF175" t="str">
        <f ca="1">IFERROR(__xludf.DUMMYFUNCTION("""COMPUTED_VALUE"""),"45 ПРИДН")</f>
        <v>45 ПРИДН</v>
      </c>
      <c r="AG175" t="str">
        <f ca="1">IFERROR(__xludf.DUMMYFUNCTION("""COMPUTED_VALUE"""),"45580 КАМЕНСКОЕ")</f>
        <v>45580 КАМЕНСКОЕ</v>
      </c>
      <c r="AH175" t="str">
        <f ca="1">IFERROR(__xludf.DUMMYFUNCTION("""COMPUTED_VALUE"""),"22.04.21 13-40")</f>
        <v>22.04.21 13-40</v>
      </c>
      <c r="AI175" s="21">
        <f ca="1">IFERROR(__xludf.DUMMYFUNCTION("""COMPUTED_VALUE"""),44420.3576736111)</f>
        <v>44420.357673611099</v>
      </c>
    </row>
    <row r="176" spans="1:35" ht="13" x14ac:dyDescent="0.15">
      <c r="A176">
        <f ca="1">IFERROR(__xludf.DUMMYFUNCTION("""COMPUTED_VALUE"""),614)</f>
        <v>614</v>
      </c>
      <c r="B176" t="str">
        <f ca="1">IFERROR(__xludf.DUMMYFUNCTION("""COMPUTED_VALUE"""),"Техрейс")</f>
        <v>Техрейс</v>
      </c>
      <c r="C176" t="str">
        <f ca="1">IFERROR(__xludf.DUMMYFUNCTION("""COMPUTED_VALUE"""),"Аурум Транс")</f>
        <v>Аурум Транс</v>
      </c>
      <c r="D176">
        <f ca="1">IFERROR(__xludf.DUMMYFUNCTION("""COMPUTED_VALUE"""),55084198)</f>
        <v>55084198</v>
      </c>
      <c r="E176" t="str">
        <f ca="1">IFERROR(__xludf.DUMMYFUNCTION("""COMPUTED_VALUE"""),"60 ПОЛУВАГОНЫ")</f>
        <v>60 ПОЛУВАГОНЫ</v>
      </c>
      <c r="F176">
        <f ca="1">IFERROR(__xludf.DUMMYFUNCTION("""COMPUTED_VALUE"""),42103)</f>
        <v>42103</v>
      </c>
      <c r="G176" t="str">
        <f ca="1">IFERROR(__xludf.DUMMYFUNCTION("""COMPUTED_VALUE"""),"ВАГОНЫ ЖД СВ")</f>
        <v>ВАГОНЫ ЖД СВ</v>
      </c>
      <c r="H176">
        <f ca="1">IFERROR(__xludf.DUMMYFUNCTION("""COMPUTED_VALUE"""),0)</f>
        <v>0</v>
      </c>
      <c r="I176">
        <f ca="1">IFERROR(__xludf.DUMMYFUNCTION("""COMPUTED_VALUE"""),4307)</f>
        <v>4307</v>
      </c>
      <c r="J176" t="str">
        <f ca="1">IFERROR(__xludf.DUMMYFUNCTION("""COMPUTED_VALUE"""),"3001 (40110-067-40000) ЧЕРНОМОРСКАЯ - ОДЕССА-СОРТ")</f>
        <v>3001 (40110-067-40000) ЧЕРНОМОРСКАЯ - ОДЕССА-СОРТ</v>
      </c>
      <c r="K176">
        <f ca="1">IFERROR(__xludf.DUMMYFUNCTION("""COMPUTED_VALUE"""),40100)</f>
        <v>40100</v>
      </c>
      <c r="L176" t="str">
        <f ca="1">IFERROR(__xludf.DUMMYFUNCTION("""COMPUTED_VALUE"""),"КРЕМИДОВКА")</f>
        <v>КРЕМИДОВКА</v>
      </c>
      <c r="M176" t="str">
        <f ca="1">IFERROR(__xludf.DUMMYFUNCTION("""COMPUTED_VALUE"""),"11.08.21 04-21")</f>
        <v>11.08.21 04-21</v>
      </c>
      <c r="N176" t="str">
        <f ca="1">IFERROR(__xludf.DUMMYFUNCTION("""COMPUTED_VALUE"""),"01 ПРИБ")</f>
        <v>01 ПРИБ</v>
      </c>
      <c r="O176">
        <f ca="1">IFERROR(__xludf.DUMMYFUNCTION("""COMPUTED_VALUE"""),40200)</f>
        <v>40200</v>
      </c>
      <c r="P176" t="str">
        <f ca="1">IFERROR(__xludf.DUMMYFUNCTION("""COMPUTED_VALUE"""),"ЧЕРНОМОРСК-П")</f>
        <v>ЧЕРНОМОРСК-П</v>
      </c>
      <c r="Q176">
        <f ca="1">IFERROR(__xludf.DUMMYFUNCTION("""COMPUTED_VALUE"""),40050)</f>
        <v>40050</v>
      </c>
      <c r="R176" t="str">
        <f ca="1">IFERROR(__xludf.DUMMYFUNCTION("""COMPUTED_VALUE"""),"БЕРЕГОВАЯ")</f>
        <v>БЕРЕГОВАЯ</v>
      </c>
      <c r="S176" t="str">
        <f ca="1">IFERROR(__xludf.DUMMYFUNCTION("""COMPUTED_VALUE"""),"07.08.21 07-10")</f>
        <v>07.08.21 07-10</v>
      </c>
      <c r="T176">
        <f ca="1">IFERROR(__xludf.DUMMYFUNCTION("""COMPUTED_VALUE"""),8200)</f>
        <v>8200</v>
      </c>
      <c r="U176" t="str">
        <f ca="1">IFERROR(__xludf.DUMMYFUNCTION("""COMPUTED_VALUE"""),"12.02.2024 ДР")</f>
        <v>12.02.2024 ДР</v>
      </c>
      <c r="Z176" t="str">
        <f ca="1">IFERROR(__xludf.DUMMYFUNCTION("""COMPUTED_VALUE"""),"ООО «АУРУМ ТРАНС»")</f>
        <v>ООО «АУРУМ ТРАНС»</v>
      </c>
      <c r="AA176" t="str">
        <f ca="1">IFERROR(__xludf.DUMMYFUNCTION("""COMPUTED_VALUE"""),"12-9790")</f>
        <v>12-9790</v>
      </c>
      <c r="AB176" t="str">
        <f ca="1">IFERROR(__xludf.DUMMYFUNCTION("""COMPUTED_VALUE"""),"45 ПРИДН")</f>
        <v>45 ПРИДН</v>
      </c>
      <c r="AC176" t="str">
        <f ca="1">IFERROR(__xludf.DUMMYFUNCTION("""COMPUTED_VALUE"""),"46710 КРИВ.РОГ-СОР")</f>
        <v>46710 КРИВ.РОГ-СОР</v>
      </c>
      <c r="AD176" t="str">
        <f ca="1">IFERROR(__xludf.DUMMYFUNCTION("""COMPUTED_VALUE"""),"01.02.21 15-44")</f>
        <v>01.02.21 15-44</v>
      </c>
      <c r="AE176" t="str">
        <f ca="1">IFERROR(__xludf.DUMMYFUNCTION("""COMPUTED_VALUE"""),"571 ИCТEК КAЛЕНДАРНЫЙ CPOК КAПИТAЛЬНОГО PEМOНТA")</f>
        <v>571 ИCТEК КAЛЕНДАРНЫЙ CPOК КAПИТAЛЬНОГО PEМOНТA</v>
      </c>
      <c r="AF176" t="str">
        <f ca="1">IFERROR(__xludf.DUMMYFUNCTION("""COMPUTED_VALUE"""),"45 ПРИДН")</f>
        <v>45 ПРИДН</v>
      </c>
      <c r="AG176" t="str">
        <f ca="1">IFERROR(__xludf.DUMMYFUNCTION("""COMPUTED_VALUE"""),"46710 КРИВ.РОГ-СОР")</f>
        <v>46710 КРИВ.РОГ-СОР</v>
      </c>
      <c r="AH176" t="str">
        <f ca="1">IFERROR(__xludf.DUMMYFUNCTION("""COMPUTED_VALUE"""),"12.02.21 11-18")</f>
        <v>12.02.21 11-18</v>
      </c>
      <c r="AI176" s="21">
        <f ca="1">IFERROR(__xludf.DUMMYFUNCTION("""COMPUTED_VALUE"""),44420.3576736111)</f>
        <v>44420.357673611099</v>
      </c>
    </row>
    <row r="177" spans="1:35" ht="13" x14ac:dyDescent="0.15">
      <c r="A177">
        <f ca="1">IFERROR(__xludf.DUMMYFUNCTION("""COMPUTED_VALUE"""),616)</f>
        <v>616</v>
      </c>
      <c r="B177" t="str">
        <f ca="1">IFERROR(__xludf.DUMMYFUNCTION("""COMPUTED_VALUE"""),"Техрейс")</f>
        <v>Техрейс</v>
      </c>
      <c r="C177" t="str">
        <f ca="1">IFERROR(__xludf.DUMMYFUNCTION("""COMPUTED_VALUE"""),"Аурум Транс")</f>
        <v>Аурум Транс</v>
      </c>
      <c r="D177">
        <f ca="1">IFERROR(__xludf.DUMMYFUNCTION("""COMPUTED_VALUE"""),63390702)</f>
        <v>63390702</v>
      </c>
      <c r="E177" t="str">
        <f ca="1">IFERROR(__xludf.DUMMYFUNCTION("""COMPUTED_VALUE"""),"60 ПОЛУВАГОНЫ")</f>
        <v>60 ПОЛУВАГОНЫ</v>
      </c>
      <c r="F177">
        <f ca="1">IFERROR(__xludf.DUMMYFUNCTION("""COMPUTED_VALUE"""),69227)</f>
        <v>69227</v>
      </c>
      <c r="G177" t="str">
        <f ca="1">IFERROR(__xludf.DUMMYFUNCTION("""COMPUTED_VALUE"""),"УТИЛЬ-СЫРЬЕ ПР")</f>
        <v>УТИЛЬ-СЫРЬЕ ПР</v>
      </c>
      <c r="H177">
        <f ca="1">IFERROR(__xludf.DUMMYFUNCTION("""COMPUTED_VALUE"""),67)</f>
        <v>67</v>
      </c>
      <c r="I177">
        <f ca="1">IFERROR(__xludf.DUMMYFUNCTION("""COMPUTED_VALUE"""),2914)</f>
        <v>2914</v>
      </c>
      <c r="J177" t="str">
        <f ca="1">IFERROR(__xludf.DUMMYFUNCTION("""COMPUTED_VALUE"""),"3576 (32090-012-32000) НОВЫЕ БЕЗР - ДАРНИЦА")</f>
        <v>3576 (32090-012-32000) НОВЫЕ БЕЗР - ДАРНИЦА</v>
      </c>
      <c r="K177">
        <f ca="1">IFERROR(__xludf.DUMMYFUNCTION("""COMPUTED_VALUE"""),32090)</f>
        <v>32090</v>
      </c>
      <c r="L177" t="str">
        <f ca="1">IFERROR(__xludf.DUMMYFUNCTION("""COMPUTED_VALUE"""),"НОВЫЕ БЕЗР")</f>
        <v>НОВЫЕ БЕЗР</v>
      </c>
      <c r="M177" t="str">
        <f ca="1">IFERROR(__xludf.DUMMYFUNCTION("""COMPUTED_VALUE"""),"11.08.21 16-34")</f>
        <v>11.08.21 16-34</v>
      </c>
      <c r="N177" t="str">
        <f ca="1">IFERROR(__xludf.DUMMYFUNCTION("""COMPUTED_VALUE"""),"05 ФОРМ")</f>
        <v>05 ФОРМ</v>
      </c>
      <c r="O177">
        <f ca="1">IFERROR(__xludf.DUMMYFUNCTION("""COMPUTED_VALUE"""),44560)</f>
        <v>44560</v>
      </c>
      <c r="P177" t="str">
        <f ca="1">IFERROR(__xludf.DUMMYFUNCTION("""COMPUTED_VALUE"""),"БАСЫ")</f>
        <v>БАСЫ</v>
      </c>
      <c r="Q177">
        <f ca="1">IFERROR(__xludf.DUMMYFUNCTION("""COMPUTED_VALUE"""),32090)</f>
        <v>32090</v>
      </c>
      <c r="R177" t="str">
        <f ca="1">IFERROR(__xludf.DUMMYFUNCTION("""COMPUTED_VALUE"""),"НОВЫЕ БЕЗР")</f>
        <v>НОВЫЕ БЕЗР</v>
      </c>
      <c r="S177" t="str">
        <f ca="1">IFERROR(__xludf.DUMMYFUNCTION("""COMPUTED_VALUE"""),"10.08.21 02-00")</f>
        <v>10.08.21 02-00</v>
      </c>
      <c r="T177">
        <f ca="1">IFERROR(__xludf.DUMMYFUNCTION("""COMPUTED_VALUE"""),2123)</f>
        <v>2123</v>
      </c>
      <c r="U177" t="str">
        <f ca="1">IFERROR(__xludf.DUMMYFUNCTION("""COMPUTED_VALUE"""),"22.12.2022 ДР")</f>
        <v>22.12.2022 ДР</v>
      </c>
      <c r="Z177" t="str">
        <f ca="1">IFERROR(__xludf.DUMMYFUNCTION("""COMPUTED_VALUE"""),"ООО «АУРУМ ТРАНС»")</f>
        <v>ООО «АУРУМ ТРАНС»</v>
      </c>
      <c r="AA177" t="str">
        <f ca="1">IFERROR(__xludf.DUMMYFUNCTION("""COMPUTED_VALUE"""),"12-9933-01")</f>
        <v>12-9933-01</v>
      </c>
      <c r="AB177" t="str">
        <f ca="1">IFERROR(__xludf.DUMMYFUNCTION("""COMPUTED_VALUE"""),"32 Ю-ЗАП")</f>
        <v>32 Ю-ЗАП</v>
      </c>
      <c r="AC177" t="str">
        <f ca="1">IFERROR(__xludf.DUMMYFUNCTION("""COMPUTED_VALUE"""),"32000 ДАРНИЦА")</f>
        <v>32000 ДАРНИЦА</v>
      </c>
      <c r="AD177" t="str">
        <f ca="1">IFERROR(__xludf.DUMMYFUNCTION("""COMPUTED_VALUE"""),"23.07.21 09-36")</f>
        <v>23.07.21 09-36</v>
      </c>
      <c r="AE177" t="str">
        <f ca="1">IFERROR(__xludf.DUMMYFUNCTION("""COMPUTED_VALUE"""),"100")</f>
        <v>100</v>
      </c>
      <c r="AF177" t="str">
        <f ca="1">IFERROR(__xludf.DUMMYFUNCTION("""COMPUTED_VALUE"""),"32 Ю-ЗАП")</f>
        <v>32 Ю-ЗАП</v>
      </c>
      <c r="AG177" t="str">
        <f ca="1">IFERROR(__xludf.DUMMYFUNCTION("""COMPUTED_VALUE"""),"32000 ДАРНИЦА")</f>
        <v>32000 ДАРНИЦА</v>
      </c>
      <c r="AH177" t="str">
        <f ca="1">IFERROR(__xludf.DUMMYFUNCTION("""COMPUTED_VALUE"""),"29.07.21 14-59")</f>
        <v>29.07.21 14-59</v>
      </c>
      <c r="AI177" s="21">
        <f ca="1">IFERROR(__xludf.DUMMYFUNCTION("""COMPUTED_VALUE"""),44420.3576736111)</f>
        <v>44420.357673611099</v>
      </c>
    </row>
    <row r="178" spans="1:35" ht="13" x14ac:dyDescent="0.15">
      <c r="A178">
        <f ca="1">IFERROR(__xludf.DUMMYFUNCTION("""COMPUTED_VALUE"""),617)</f>
        <v>617</v>
      </c>
      <c r="B178" t="str">
        <f ca="1">IFERROR(__xludf.DUMMYFUNCTION("""COMPUTED_VALUE"""),"Ламан-Шипинг")</f>
        <v>Ламан-Шипинг</v>
      </c>
      <c r="C178" t="str">
        <f ca="1">IFERROR(__xludf.DUMMYFUNCTION("""COMPUTED_VALUE"""),"Аурум Транс")</f>
        <v>Аурум Транс</v>
      </c>
      <c r="D178">
        <f ca="1">IFERROR(__xludf.DUMMYFUNCTION("""COMPUTED_VALUE"""),61397717)</f>
        <v>61397717</v>
      </c>
      <c r="E178" t="str">
        <f ca="1">IFERROR(__xludf.DUMMYFUNCTION("""COMPUTED_VALUE"""),"60 ПОЛУВАГОНЫ")</f>
        <v>60 ПОЛУВАГОНЫ</v>
      </c>
      <c r="F178">
        <f ca="1">IFERROR(__xludf.DUMMYFUNCTION("""COMPUTED_VALUE"""),23107)</f>
        <v>23107</v>
      </c>
      <c r="G178" t="str">
        <f ca="1">IFERROR(__xludf.DUMMYFUNCTION("""COMPUTED_VALUE"""),"ПЕСОК СТРОИТ")</f>
        <v>ПЕСОК СТРОИТ</v>
      </c>
      <c r="H178">
        <f ca="1">IFERROR(__xludf.DUMMYFUNCTION("""COMPUTED_VALUE"""),70)</f>
        <v>70</v>
      </c>
      <c r="I178">
        <f ca="1">IFERROR(__xludf.DUMMYFUNCTION("""COMPUTED_VALUE"""),1213)</f>
        <v>1213</v>
      </c>
      <c r="J178" t="str">
        <f ca="1">IFERROR(__xludf.DUMMYFUNCTION("""COMPUTED_VALUE"""),"9512 (34750-007-32000) ПЕНИЗЕВИЧИ - ДАРНИЦА")</f>
        <v>9512 (34750-007-32000) ПЕНИЗЕВИЧИ - ДАРНИЦА</v>
      </c>
      <c r="K178">
        <f ca="1">IFERROR(__xludf.DUMMYFUNCTION("""COMPUTED_VALUE"""),32010)</f>
        <v>32010</v>
      </c>
      <c r="L178" t="str">
        <f ca="1">IFERROR(__xludf.DUMMYFUNCTION("""COMPUTED_VALUE"""),"КИЕВ-ДЕМЕЕВС")</f>
        <v>КИЕВ-ДЕМЕЕВС</v>
      </c>
      <c r="M178" t="str">
        <f ca="1">IFERROR(__xludf.DUMMYFUNCTION("""COMPUTED_VALUE"""),"11.08.21 16-54")</f>
        <v>11.08.21 16-54</v>
      </c>
      <c r="N178" t="str">
        <f ca="1">IFERROR(__xludf.DUMMYFUNCTION("""COMPUTED_VALUE"""),"01 ПРИБ")</f>
        <v>01 ПРИБ</v>
      </c>
      <c r="O178">
        <f ca="1">IFERROR(__xludf.DUMMYFUNCTION("""COMPUTED_VALUE"""),32330)</f>
        <v>32330</v>
      </c>
      <c r="P178" t="str">
        <f ca="1">IFERROR(__xludf.DUMMYFUNCTION("""COMPUTED_VALUE"""),"БРОВАРЫ")</f>
        <v>БРОВАРЫ</v>
      </c>
      <c r="Q178">
        <f ca="1">IFERROR(__xludf.DUMMYFUNCTION("""COMPUTED_VALUE"""),34750)</f>
        <v>34750</v>
      </c>
      <c r="R178" t="str">
        <f ca="1">IFERROR(__xludf.DUMMYFUNCTION("""COMPUTED_VALUE"""),"ПЕНИЗЕВИЧИ")</f>
        <v>ПЕНИЗЕВИЧИ</v>
      </c>
      <c r="S178" t="str">
        <f ca="1">IFERROR(__xludf.DUMMYFUNCTION("""COMPUTED_VALUE"""),"11.08.21 12-00")</f>
        <v>11.08.21 12-00</v>
      </c>
      <c r="T178">
        <f ca="1">IFERROR(__xludf.DUMMYFUNCTION("""COMPUTED_VALUE"""),3437)</f>
        <v>3437</v>
      </c>
      <c r="U178" t="str">
        <f ca="1">IFERROR(__xludf.DUMMYFUNCTION("""COMPUTED_VALUE"""),"18.02.2024 КР")</f>
        <v>18.02.2024 КР</v>
      </c>
      <c r="Z178" t="str">
        <f ca="1">IFERROR(__xludf.DUMMYFUNCTION("""COMPUTED_VALUE"""),"ООО «АУРУМ ТРАНС»")</f>
        <v>ООО «АУРУМ ТРАНС»</v>
      </c>
      <c r="AA178" t="str">
        <f ca="1">IFERROR(__xludf.DUMMYFUNCTION("""COMPUTED_VALUE"""),"12-9790")</f>
        <v>12-9790</v>
      </c>
      <c r="AB178" t="str">
        <f ca="1">IFERROR(__xludf.DUMMYFUNCTION("""COMPUTED_VALUE"""),"45 ПРИДН")</f>
        <v>45 ПРИДН</v>
      </c>
      <c r="AC178" t="str">
        <f ca="1">IFERROR(__xludf.DUMMYFUNCTION("""COMPUTED_VALUE"""),"46710 КРИВ.РОГ-СОР")</f>
        <v>46710 КРИВ.РОГ-СОР</v>
      </c>
      <c r="AD178" t="str">
        <f ca="1">IFERROR(__xludf.DUMMYFUNCTION("""COMPUTED_VALUE"""),"08.02.21 08-52")</f>
        <v>08.02.21 08-52</v>
      </c>
      <c r="AE178" t="str">
        <f ca="1">IFERROR(__xludf.DUMMYFUNCTION("""COMPUTED_VALUE"""),"570 ИCТEК КAЛЕНДАРНЫЙ CPOК ДEПOВCКОГО PEМOНТA")</f>
        <v>570 ИCТEК КAЛЕНДАРНЫЙ CPOК ДEПOВCКОГО PEМOНТA</v>
      </c>
      <c r="AF178" t="str">
        <f ca="1">IFERROR(__xludf.DUMMYFUNCTION("""COMPUTED_VALUE"""),"45 ПРИДН")</f>
        <v>45 ПРИДН</v>
      </c>
      <c r="AG178" t="str">
        <f ca="1">IFERROR(__xludf.DUMMYFUNCTION("""COMPUTED_VALUE"""),"46710 КРИВ.РОГ-СОР")</f>
        <v>46710 КРИВ.РОГ-СОР</v>
      </c>
      <c r="AH178" t="str">
        <f ca="1">IFERROR(__xludf.DUMMYFUNCTION("""COMPUTED_VALUE"""),"18.02.21 14-52")</f>
        <v>18.02.21 14-52</v>
      </c>
      <c r="AI178" s="21">
        <f ca="1">IFERROR(__xludf.DUMMYFUNCTION("""COMPUTED_VALUE"""),44420.3576736111)</f>
        <v>44420.357673611099</v>
      </c>
    </row>
    <row r="179" spans="1:35" ht="13" x14ac:dyDescent="0.15">
      <c r="A179">
        <f ca="1">IFERROR(__xludf.DUMMYFUNCTION("""COMPUTED_VALUE"""),618)</f>
        <v>618</v>
      </c>
      <c r="B179" t="str">
        <f ca="1">IFERROR(__xludf.DUMMYFUNCTION("""COMPUTED_VALUE"""),"Техрейс")</f>
        <v>Техрейс</v>
      </c>
      <c r="C179" t="str">
        <f ca="1">IFERROR(__xludf.DUMMYFUNCTION("""COMPUTED_VALUE"""),"Аурум Транс")</f>
        <v>Аурум Транс</v>
      </c>
      <c r="D179">
        <f ca="1">IFERROR(__xludf.DUMMYFUNCTION("""COMPUTED_VALUE"""),55084081)</f>
        <v>55084081</v>
      </c>
      <c r="E179" t="str">
        <f ca="1">IFERROR(__xludf.DUMMYFUNCTION("""COMPUTED_VALUE"""),"60 ПОЛУВАГОНЫ")</f>
        <v>60 ПОЛУВАГОНЫ</v>
      </c>
      <c r="F179">
        <f ca="1">IFERROR(__xludf.DUMMYFUNCTION("""COMPUTED_VALUE"""),24133)</f>
        <v>24133</v>
      </c>
      <c r="G179" t="str">
        <f ca="1">IFERROR(__xludf.DUMMYFUNCTION("""COMPUTED_VALUE"""),"КАМЕНЬ ИЗВЕСТ")</f>
        <v>КАМЕНЬ ИЗВЕСТ</v>
      </c>
      <c r="H179">
        <f ca="1">IFERROR(__xludf.DUMMYFUNCTION("""COMPUTED_VALUE"""),67)</f>
        <v>67</v>
      </c>
      <c r="I179">
        <f ca="1">IFERROR(__xludf.DUMMYFUNCTION("""COMPUTED_VALUE"""),2421)</f>
        <v>2421</v>
      </c>
      <c r="J179" t="str">
        <f ca="1">IFERROR(__xludf.DUMMYFUNCTION("""COMPUTED_VALUE"""),"3105 (41780-031-41510) ХЕРСОН - НИКОЛАЕВ")</f>
        <v>3105 (41780-031-41510) ХЕРСОН - НИКОЛАЕВ</v>
      </c>
      <c r="K179">
        <f ca="1">IFERROR(__xludf.DUMMYFUNCTION("""COMPUTED_VALUE"""),41510)</f>
        <v>41510</v>
      </c>
      <c r="L179" t="str">
        <f ca="1">IFERROR(__xludf.DUMMYFUNCTION("""COMPUTED_VALUE"""),"НИКОЛАЕВ")</f>
        <v>НИКОЛАЕВ</v>
      </c>
      <c r="M179" t="str">
        <f ca="1">IFERROR(__xludf.DUMMYFUNCTION("""COMPUTED_VALUE"""),"11.08.21 12-10")</f>
        <v>11.08.21 12-10</v>
      </c>
      <c r="N179" t="str">
        <f ca="1">IFERROR(__xludf.DUMMYFUNCTION("""COMPUTED_VALUE"""),"04 РАСФ")</f>
        <v>04 РАСФ</v>
      </c>
      <c r="O179">
        <f ca="1">IFERROR(__xludf.DUMMYFUNCTION("""COMPUTED_VALUE"""),32210)</f>
        <v>32210</v>
      </c>
      <c r="P179" t="str">
        <f ca="1">IFERROR(__xludf.DUMMYFUNCTION("""COMPUTED_VALUE"""),"БУЧА")</f>
        <v>БУЧА</v>
      </c>
      <c r="Q179">
        <f ca="1">IFERROR(__xludf.DUMMYFUNCTION("""COMPUTED_VALUE"""),41790)</f>
        <v>41790</v>
      </c>
      <c r="R179" t="str">
        <f ca="1">IFERROR(__xludf.DUMMYFUNCTION("""COMPUTED_VALUE"""),"ХЕРСОН-ПОРТ")</f>
        <v>ХЕРСОН-ПОРТ</v>
      </c>
      <c r="S179" t="str">
        <f ca="1">IFERROR(__xludf.DUMMYFUNCTION("""COMPUTED_VALUE"""),"08.08.21 17-15")</f>
        <v>08.08.21 17-15</v>
      </c>
      <c r="T179">
        <f ca="1">IFERROR(__xludf.DUMMYFUNCTION("""COMPUTED_VALUE"""),9120)</f>
        <v>9120</v>
      </c>
      <c r="U179" t="str">
        <f ca="1">IFERROR(__xludf.DUMMYFUNCTION("""COMPUTED_VALUE"""),"18.10.2022 КР")</f>
        <v>18.10.2022 КР</v>
      </c>
      <c r="Z179" t="str">
        <f ca="1">IFERROR(__xludf.DUMMYFUNCTION("""COMPUTED_VALUE"""),"ООО «АУРУМ ТРАНС»")</f>
        <v>ООО «АУРУМ ТРАНС»</v>
      </c>
      <c r="AA179" t="str">
        <f ca="1">IFERROR(__xludf.DUMMYFUNCTION("""COMPUTED_VALUE"""),"12-9790")</f>
        <v>12-9790</v>
      </c>
      <c r="AB179" t="str">
        <f ca="1">IFERROR(__xludf.DUMMYFUNCTION("""COMPUTED_VALUE"""),"32 Ю-ЗАП")</f>
        <v>32 Ю-ЗАП</v>
      </c>
      <c r="AC179" t="str">
        <f ca="1">IFERROR(__xludf.DUMMYFUNCTION("""COMPUTED_VALUE"""),"34270 КАЗАТИН I")</f>
        <v>34270 КАЗАТИН I</v>
      </c>
      <c r="AD179" t="str">
        <f ca="1">IFERROR(__xludf.DUMMYFUNCTION("""COMPUTED_VALUE"""),"18.07.21 13-17")</f>
        <v>18.07.21 13-17</v>
      </c>
      <c r="AE179" t="str">
        <f ca="1">IFERROR(__xludf.DUMMYFUNCTION("""COMPUTED_VALUE"""),"404 НEИCПPAВНОСТЬ ТOPМOЗНOГO ЦИЛИНДPA")</f>
        <v>404 НEИCПPAВНОСТЬ ТOPМOЗНOГO ЦИЛИНДPA</v>
      </c>
      <c r="AF179" t="str">
        <f ca="1">IFERROR(__xludf.DUMMYFUNCTION("""COMPUTED_VALUE"""),"32 Ю-ЗАП")</f>
        <v>32 Ю-ЗАП</v>
      </c>
      <c r="AG179" t="str">
        <f ca="1">IFERROR(__xludf.DUMMYFUNCTION("""COMPUTED_VALUE"""),"34270 КАЗАТИН I")</f>
        <v>34270 КАЗАТИН I</v>
      </c>
      <c r="AH179" t="str">
        <f ca="1">IFERROR(__xludf.DUMMYFUNCTION("""COMPUTED_VALUE"""),"19.07.21 18-00")</f>
        <v>19.07.21 18-00</v>
      </c>
      <c r="AI179" s="21">
        <f ca="1">IFERROR(__xludf.DUMMYFUNCTION("""COMPUTED_VALUE"""),44420.3576736111)</f>
        <v>44420.357673611099</v>
      </c>
    </row>
    <row r="180" spans="1:35" ht="13" x14ac:dyDescent="0.15">
      <c r="A180">
        <f ca="1">IFERROR(__xludf.DUMMYFUNCTION("""COMPUTED_VALUE"""),696)</f>
        <v>696</v>
      </c>
      <c r="B180" t="str">
        <f ca="1">IFERROR(__xludf.DUMMYFUNCTION("""COMPUTED_VALUE"""),"Техрейс")</f>
        <v>Техрейс</v>
      </c>
      <c r="C180" t="str">
        <f ca="1">IFERROR(__xludf.DUMMYFUNCTION("""COMPUTED_VALUE"""),"Аурум Транс")</f>
        <v>Аурум Транс</v>
      </c>
      <c r="D180">
        <f ca="1">IFERROR(__xludf.DUMMYFUNCTION("""COMPUTED_VALUE"""),55082473)</f>
        <v>55082473</v>
      </c>
      <c r="E180" t="str">
        <f ca="1">IFERROR(__xludf.DUMMYFUNCTION("""COMPUTED_VALUE"""),"60 ПОЛУВАГОНЫ")</f>
        <v>60 ПОЛУВАГОНЫ</v>
      </c>
      <c r="F180">
        <f ca="1">IFERROR(__xludf.DUMMYFUNCTION("""COMPUTED_VALUE"""),24133)</f>
        <v>24133</v>
      </c>
      <c r="G180" t="str">
        <f ca="1">IFERROR(__xludf.DUMMYFUNCTION("""COMPUTED_VALUE"""),"КАМЕНЬ ИЗВЕСТ")</f>
        <v>КАМЕНЬ ИЗВЕСТ</v>
      </c>
      <c r="H180">
        <f ca="1">IFERROR(__xludf.DUMMYFUNCTION("""COMPUTED_VALUE"""),69)</f>
        <v>69</v>
      </c>
      <c r="I180">
        <f ca="1">IFERROR(__xludf.DUMMYFUNCTION("""COMPUTED_VALUE"""),4433)</f>
        <v>4433</v>
      </c>
      <c r="J180" t="str">
        <f ca="1">IFERROR(__xludf.DUMMYFUNCTION("""COMPUTED_VALUE"""),"3422 (34270-241-34440) КАЗАТИН I - МИРОНОВКА")</f>
        <v>3422 (34270-241-34440) КАЗАТИН I - МИРОНОВКА</v>
      </c>
      <c r="K180">
        <f ca="1">IFERROR(__xludf.DUMMYFUNCTION("""COMPUTED_VALUE"""),34310)</f>
        <v>34310</v>
      </c>
      <c r="L180" t="str">
        <f ca="1">IFERROR(__xludf.DUMMYFUNCTION("""COMPUTED_VALUE"""),"ПОПЕЛЬНЯ")</f>
        <v>ПОПЕЛЬНЯ</v>
      </c>
      <c r="M180" t="str">
        <f ca="1">IFERROR(__xludf.DUMMYFUNCTION("""COMPUTED_VALUE"""),"12.08.21 07-57")</f>
        <v>12.08.21 07-57</v>
      </c>
      <c r="N180" t="str">
        <f ca="1">IFERROR(__xludf.DUMMYFUNCTION("""COMPUTED_VALUE"""),"72 ОТЦ")</f>
        <v>72 ОТЦ</v>
      </c>
      <c r="O180">
        <f ca="1">IFERROR(__xludf.DUMMYFUNCTION("""COMPUTED_VALUE"""),34280)</f>
        <v>34280</v>
      </c>
      <c r="P180" t="str">
        <f ca="1">IFERROR(__xludf.DUMMYFUNCTION("""COMPUTED_VALUE"""),"ЧЕРНОРУДКА")</f>
        <v>ЧЕРНОРУДКА</v>
      </c>
      <c r="Q180">
        <f ca="1">IFERROR(__xludf.DUMMYFUNCTION("""COMPUTED_VALUE"""),33010)</f>
        <v>33010</v>
      </c>
      <c r="R180" t="str">
        <f ca="1">IFERROR(__xludf.DUMMYFUNCTION("""COMPUTED_VALUE"""),"ВОЛОЧИСК")</f>
        <v>ВОЛОЧИСК</v>
      </c>
      <c r="S180" t="str">
        <f ca="1">IFERROR(__xludf.DUMMYFUNCTION("""COMPUTED_VALUE"""),"06.08.21 13-10")</f>
        <v>06.08.21 13-10</v>
      </c>
      <c r="T180">
        <f ca="1">IFERROR(__xludf.DUMMYFUNCTION("""COMPUTED_VALUE"""),2428)</f>
        <v>2428</v>
      </c>
      <c r="U180" t="str">
        <f ca="1">IFERROR(__xludf.DUMMYFUNCTION("""COMPUTED_VALUE"""),"27.11.2023 ДР")</f>
        <v>27.11.2023 ДР</v>
      </c>
      <c r="Z180" t="str">
        <f ca="1">IFERROR(__xludf.DUMMYFUNCTION("""COMPUTED_VALUE"""),"ООО «АУРУМ ТРАНС»")</f>
        <v>ООО «АУРУМ ТРАНС»</v>
      </c>
      <c r="AA180" t="str">
        <f ca="1">IFERROR(__xludf.DUMMYFUNCTION("""COMPUTED_VALUE"""),"12-783")</f>
        <v>12-783</v>
      </c>
      <c r="AB180" t="str">
        <f ca="1">IFERROR(__xludf.DUMMYFUNCTION("""COMPUTED_VALUE"""),"48 ДОН")</f>
        <v>48 ДОН</v>
      </c>
      <c r="AC180" t="str">
        <f ca="1">IFERROR(__xludf.DUMMYFUNCTION("""COMPUTED_VALUE"""),"49870 РУБЕЖНОЕ")</f>
        <v>49870 РУБЕЖНОЕ</v>
      </c>
      <c r="AD180" t="str">
        <f ca="1">IFERROR(__xludf.DUMMYFUNCTION("""COMPUTED_VALUE"""),"13.11.20 10-26")</f>
        <v>13.11.20 10-26</v>
      </c>
      <c r="AE180" t="str">
        <f ca="1">IFERROR(__xludf.DUMMYFUNCTION("""COMPUTED_VALUE"""),"571 ИCТEК КAЛЕНДАРНЫЙ CPOК КAПИТAЛЬНОГО PEМOНТA")</f>
        <v>571 ИCТEК КAЛЕНДАРНЫЙ CPOК КAПИТAЛЬНОГО PEМOНТA</v>
      </c>
      <c r="AF180" t="str">
        <f ca="1">IFERROR(__xludf.DUMMYFUNCTION("""COMPUTED_VALUE"""),"48 ДОН")</f>
        <v>48 ДОН</v>
      </c>
      <c r="AG180" t="str">
        <f ca="1">IFERROR(__xludf.DUMMYFUNCTION("""COMPUTED_VALUE"""),"49870 РУБЕЖНОЕ")</f>
        <v>49870 РУБЕЖНОЕ</v>
      </c>
      <c r="AH180" t="str">
        <f ca="1">IFERROR(__xludf.DUMMYFUNCTION("""COMPUTED_VALUE"""),"27.11.20 12-06")</f>
        <v>27.11.20 12-06</v>
      </c>
      <c r="AI180" s="21">
        <f ca="1">IFERROR(__xludf.DUMMYFUNCTION("""COMPUTED_VALUE"""),44420.3576736111)</f>
        <v>44420.357673611099</v>
      </c>
    </row>
    <row r="181" spans="1:35" ht="13" x14ac:dyDescent="0.15">
      <c r="A181">
        <f ca="1">IFERROR(__xludf.DUMMYFUNCTION("""COMPUTED_VALUE"""),698)</f>
        <v>698</v>
      </c>
      <c r="B181" t="str">
        <f ca="1">IFERROR(__xludf.DUMMYFUNCTION("""COMPUTED_VALUE"""),"Техрейс")</f>
        <v>Техрейс</v>
      </c>
      <c r="C181" t="str">
        <f ca="1">IFERROR(__xludf.DUMMYFUNCTION("""COMPUTED_VALUE"""),"Аурум Транс")</f>
        <v>Аурум Транс</v>
      </c>
      <c r="D181">
        <f ca="1">IFERROR(__xludf.DUMMYFUNCTION("""COMPUTED_VALUE"""),55083646)</f>
        <v>55083646</v>
      </c>
      <c r="E181" t="str">
        <f ca="1">IFERROR(__xludf.DUMMYFUNCTION("""COMPUTED_VALUE"""),"60 ПОЛУВАГОНЫ")</f>
        <v>60 ПОЛУВАГОНЫ</v>
      </c>
      <c r="F181">
        <f ca="1">IFERROR(__xludf.DUMMYFUNCTION("""COMPUTED_VALUE"""),69227)</f>
        <v>69227</v>
      </c>
      <c r="G181" t="str">
        <f ca="1">IFERROR(__xludf.DUMMYFUNCTION("""COMPUTED_VALUE"""),"УТИЛЬ-СЫРЬЕ ПР")</f>
        <v>УТИЛЬ-СЫРЬЕ ПР</v>
      </c>
      <c r="H181">
        <f ca="1">IFERROR(__xludf.DUMMYFUNCTION("""COMPUTED_VALUE"""),67)</f>
        <v>67</v>
      </c>
      <c r="I181">
        <f ca="1">IFERROR(__xludf.DUMMYFUNCTION("""COMPUTED_VALUE"""),2914)</f>
        <v>2914</v>
      </c>
      <c r="J181" t="str">
        <f ca="1">IFERROR(__xludf.DUMMYFUNCTION("""COMPUTED_VALUE"""),"3576 (32090-012-32000) НОВЫЕ БЕЗР - ДАРНИЦА")</f>
        <v>3576 (32090-012-32000) НОВЫЕ БЕЗР - ДАРНИЦА</v>
      </c>
      <c r="K181">
        <f ca="1">IFERROR(__xludf.DUMMYFUNCTION("""COMPUTED_VALUE"""),32090)</f>
        <v>32090</v>
      </c>
      <c r="L181" t="str">
        <f ca="1">IFERROR(__xludf.DUMMYFUNCTION("""COMPUTED_VALUE"""),"НОВЫЕ БЕЗР")</f>
        <v>НОВЫЕ БЕЗР</v>
      </c>
      <c r="M181" t="str">
        <f ca="1">IFERROR(__xludf.DUMMYFUNCTION("""COMPUTED_VALUE"""),"11.08.21 16-34")</f>
        <v>11.08.21 16-34</v>
      </c>
      <c r="N181" t="str">
        <f ca="1">IFERROR(__xludf.DUMMYFUNCTION("""COMPUTED_VALUE"""),"05 ФОРМ")</f>
        <v>05 ФОРМ</v>
      </c>
      <c r="O181">
        <f ca="1">IFERROR(__xludf.DUMMYFUNCTION("""COMPUTED_VALUE"""),44560)</f>
        <v>44560</v>
      </c>
      <c r="P181" t="str">
        <f ca="1">IFERROR(__xludf.DUMMYFUNCTION("""COMPUTED_VALUE"""),"БАСЫ")</f>
        <v>БАСЫ</v>
      </c>
      <c r="Q181">
        <f ca="1">IFERROR(__xludf.DUMMYFUNCTION("""COMPUTED_VALUE"""),32090)</f>
        <v>32090</v>
      </c>
      <c r="R181" t="str">
        <f ca="1">IFERROR(__xludf.DUMMYFUNCTION("""COMPUTED_VALUE"""),"НОВЫЕ БЕЗР")</f>
        <v>НОВЫЕ БЕЗР</v>
      </c>
      <c r="S181" t="str">
        <f ca="1">IFERROR(__xludf.DUMMYFUNCTION("""COMPUTED_VALUE"""),"10.08.21 02-00")</f>
        <v>10.08.21 02-00</v>
      </c>
      <c r="T181">
        <f ca="1">IFERROR(__xludf.DUMMYFUNCTION("""COMPUTED_VALUE"""),2123)</f>
        <v>2123</v>
      </c>
      <c r="U181" t="str">
        <f ca="1">IFERROR(__xludf.DUMMYFUNCTION("""COMPUTED_VALUE"""),"16.12.2023 ДР")</f>
        <v>16.12.2023 ДР</v>
      </c>
      <c r="Z181" t="str">
        <f ca="1">IFERROR(__xludf.DUMMYFUNCTION("""COMPUTED_VALUE"""),"ООО «АУРУМ ТРАНС»")</f>
        <v>ООО «АУРУМ ТРАНС»</v>
      </c>
      <c r="AA181" t="str">
        <f ca="1">IFERROR(__xludf.DUMMYFUNCTION("""COMPUTED_VALUE"""),"12-9790")</f>
        <v>12-9790</v>
      </c>
      <c r="AB181" t="str">
        <f ca="1">IFERROR(__xludf.DUMMYFUNCTION("""COMPUTED_VALUE"""),"32 Ю-ЗАП")</f>
        <v>32 Ю-ЗАП</v>
      </c>
      <c r="AC181" t="str">
        <f ca="1">IFERROR(__xludf.DUMMYFUNCTION("""COMPUTED_VALUE"""),"32000 ДАРНИЦА")</f>
        <v>32000 ДАРНИЦА</v>
      </c>
      <c r="AD181" t="str">
        <f ca="1">IFERROR(__xludf.DUMMYFUNCTION("""COMPUTED_VALUE"""),"23.07.21 11-55")</f>
        <v>23.07.21 11-55</v>
      </c>
      <c r="AE181" t="str">
        <f ca="1">IFERROR(__xludf.DUMMYFUNCTION("""COMPUTED_VALUE"""),"100")</f>
        <v>100</v>
      </c>
      <c r="AF181" t="str">
        <f ca="1">IFERROR(__xludf.DUMMYFUNCTION("""COMPUTED_VALUE"""),"32 Ю-ЗАП")</f>
        <v>32 Ю-ЗАП</v>
      </c>
      <c r="AG181" t="str">
        <f ca="1">IFERROR(__xludf.DUMMYFUNCTION("""COMPUTED_VALUE"""),"32000 ДАРНИЦА")</f>
        <v>32000 ДАРНИЦА</v>
      </c>
      <c r="AH181" t="str">
        <f ca="1">IFERROR(__xludf.DUMMYFUNCTION("""COMPUTED_VALUE"""),"29.07.21 14-57")</f>
        <v>29.07.21 14-57</v>
      </c>
      <c r="AI181" s="21">
        <f ca="1">IFERROR(__xludf.DUMMYFUNCTION("""COMPUTED_VALUE"""),44420.3576736111)</f>
        <v>44420.357673611099</v>
      </c>
    </row>
    <row r="182" spans="1:35" ht="13" x14ac:dyDescent="0.15">
      <c r="A182">
        <f ca="1">IFERROR(__xludf.DUMMYFUNCTION("""COMPUTED_VALUE"""),706)</f>
        <v>706</v>
      </c>
      <c r="B182" t="str">
        <f ca="1">IFERROR(__xludf.DUMMYFUNCTION("""COMPUTED_VALUE"""),"Техрейс")</f>
        <v>Техрейс</v>
      </c>
      <c r="C182" t="str">
        <f ca="1">IFERROR(__xludf.DUMMYFUNCTION("""COMPUTED_VALUE"""),"Аурум Транс")</f>
        <v>Аурум Транс</v>
      </c>
      <c r="D182">
        <f ca="1">IFERROR(__xludf.DUMMYFUNCTION("""COMPUTED_VALUE"""),63704142)</f>
        <v>63704142</v>
      </c>
      <c r="E182" t="str">
        <f ca="1">IFERROR(__xludf.DUMMYFUNCTION("""COMPUTED_VALUE"""),"60 ПОЛУВАГОНЫ")</f>
        <v>60 ПОЛУВАГОНЫ</v>
      </c>
      <c r="F182">
        <f ca="1">IFERROR(__xludf.DUMMYFUNCTION("""COMPUTED_VALUE"""),42119)</f>
        <v>42119</v>
      </c>
      <c r="G182" t="str">
        <f ca="1">IFERROR(__xludf.DUMMYFUNCTION("""COMPUTED_VALUE"""),"ВАГОНЫ ЖД РЕМОН")</f>
        <v>ВАГОНЫ ЖД РЕМОН</v>
      </c>
      <c r="H182">
        <f ca="1">IFERROR(__xludf.DUMMYFUNCTION("""COMPUTED_VALUE"""),0)</f>
        <v>0</v>
      </c>
      <c r="I182">
        <f ca="1">IFERROR(__xludf.DUMMYFUNCTION("""COMPUTED_VALUE"""),4584)</f>
        <v>4584</v>
      </c>
      <c r="J182" t="str">
        <f ca="1">IFERROR(__xludf.DUMMYFUNCTION("""COMPUTED_VALUE"""),"2515 (46300-742-46000) ПОЛОГИ - ЗАПОРОЖ-ЛЕВ")</f>
        <v>2515 (46300-742-46000) ПОЛОГИ - ЗАПОРОЖ-ЛЕВ</v>
      </c>
      <c r="K182">
        <f ca="1">IFERROR(__xludf.DUMMYFUNCTION("""COMPUTED_VALUE"""),46380)</f>
        <v>46380</v>
      </c>
      <c r="L182" t="str">
        <f ca="1">IFERROR(__xludf.DUMMYFUNCTION("""COMPUTED_VALUE"""),"КИРПОТИНО")</f>
        <v>КИРПОТИНО</v>
      </c>
      <c r="M182" t="str">
        <f ca="1">IFERROR(__xludf.DUMMYFUNCTION("""COMPUTED_VALUE"""),"12.08.21 08-10")</f>
        <v>12.08.21 08-10</v>
      </c>
      <c r="N182" t="str">
        <f ca="1">IFERROR(__xludf.DUMMYFUNCTION("""COMPUTED_VALUE"""),"02 ОТПР")</f>
        <v>02 ОТПР</v>
      </c>
      <c r="O182">
        <f ca="1">IFERROR(__xludf.DUMMYFUNCTION("""COMPUTED_VALUE"""),49870)</f>
        <v>49870</v>
      </c>
      <c r="P182" t="str">
        <f ca="1">IFERROR(__xludf.DUMMYFUNCTION("""COMPUTED_VALUE"""),"РУБЕЖНОЕ")</f>
        <v>РУБЕЖНОЕ</v>
      </c>
      <c r="Q182">
        <f ca="1">IFERROR(__xludf.DUMMYFUNCTION("""COMPUTED_VALUE"""),46240)</f>
        <v>46240</v>
      </c>
      <c r="R182" t="str">
        <f ca="1">IFERROR(__xludf.DUMMYFUNCTION("""COMPUTED_VALUE"""),"КАМЫШ-ЗАРЯ")</f>
        <v>КАМЫШ-ЗАРЯ</v>
      </c>
      <c r="S182" t="str">
        <f ca="1">IFERROR(__xludf.DUMMYFUNCTION("""COMPUTED_VALUE"""),"10.08.21 13-00")</f>
        <v>10.08.21 13-00</v>
      </c>
      <c r="T182">
        <f ca="1">IFERROR(__xludf.DUMMYFUNCTION("""COMPUTED_VALUE"""),8200)</f>
        <v>8200</v>
      </c>
      <c r="U182" t="str">
        <f ca="1">IFERROR(__xludf.DUMMYFUNCTION("""COMPUTED_VALUE"""),"27.08.2021 ДР")</f>
        <v>27.08.2021 ДР</v>
      </c>
      <c r="Z182" t="str">
        <f ca="1">IFERROR(__xludf.DUMMYFUNCTION("""COMPUTED_VALUE"""),"ООО «АУРУМ ТРАНС»")</f>
        <v>ООО «АУРУМ ТРАНС»</v>
      </c>
      <c r="AA182" t="str">
        <f ca="1">IFERROR(__xludf.DUMMYFUNCTION("""COMPUTED_VALUE"""),"12-9933-01")</f>
        <v>12-9933-01</v>
      </c>
      <c r="AB182" t="str">
        <f ca="1">IFERROR(__xludf.DUMMYFUNCTION("""COMPUTED_VALUE"""),"45 ПРИДН")</f>
        <v>45 ПРИДН</v>
      </c>
      <c r="AC182" t="str">
        <f ca="1">IFERROR(__xludf.DUMMYFUNCTION("""COMPUTED_VALUE"""),"47660 ДНЕПРОРУДНАЯ")</f>
        <v>47660 ДНЕПРОРУДНАЯ</v>
      </c>
      <c r="AD182" t="str">
        <f ca="1">IFERROR(__xludf.DUMMYFUNCTION("""COMPUTED_VALUE"""),"08.03.21 12-00")</f>
        <v>08.03.21 12-00</v>
      </c>
      <c r="AE182" t="str">
        <f ca="1">IFERROR(__xludf.DUMMYFUNCTION("""COMPUTED_VALUE"""),"403 НEИCПPAВНОСТЬ ВOЗДУXOPACПPEДEЛИТEЛЯ")</f>
        <v>403 НEИCПPAВНОСТЬ ВOЗДУXOPACПPEДEЛИТEЛЯ</v>
      </c>
      <c r="AF182" t="str">
        <f ca="1">IFERROR(__xludf.DUMMYFUNCTION("""COMPUTED_VALUE"""),"45 ПРИДН")</f>
        <v>45 ПРИДН</v>
      </c>
      <c r="AG182" t="str">
        <f ca="1">IFERROR(__xludf.DUMMYFUNCTION("""COMPUTED_VALUE"""),"47660 ДНЕПРОРУДНАЯ")</f>
        <v>47660 ДНЕПРОРУДНАЯ</v>
      </c>
      <c r="AH182" t="str">
        <f ca="1">IFERROR(__xludf.DUMMYFUNCTION("""COMPUTED_VALUE"""),"16.03.21 15-10")</f>
        <v>16.03.21 15-10</v>
      </c>
      <c r="AI182" s="21">
        <f ca="1">IFERROR(__xludf.DUMMYFUNCTION("""COMPUTED_VALUE"""),44420.3576736111)</f>
        <v>44420.357673611099</v>
      </c>
    </row>
    <row r="183" spans="1:35" ht="13" x14ac:dyDescent="0.15">
      <c r="A183">
        <f ca="1">IFERROR(__xludf.DUMMYFUNCTION("""COMPUTED_VALUE"""),734)</f>
        <v>734</v>
      </c>
      <c r="B183" t="str">
        <f ca="1">IFERROR(__xludf.DUMMYFUNCTION("""COMPUTED_VALUE"""),"Лидер")</f>
        <v>Лидер</v>
      </c>
      <c r="C183" t="str">
        <f ca="1">IFERROR(__xludf.DUMMYFUNCTION("""COMPUTED_VALUE"""),"Промкомплект")</f>
        <v>Промкомплект</v>
      </c>
      <c r="D183">
        <f ca="1">IFERROR(__xludf.DUMMYFUNCTION("""COMPUTED_VALUE"""),61908745)</f>
        <v>61908745</v>
      </c>
      <c r="E183" t="str">
        <f ca="1">IFERROR(__xludf.DUMMYFUNCTION("""COMPUTED_VALUE"""),"60 ПОЛУВАГОНЫ")</f>
        <v>60 ПОЛУВАГОНЫ</v>
      </c>
      <c r="F183">
        <f ca="1">IFERROR(__xludf.DUMMYFUNCTION("""COMPUTED_VALUE"""),23107)</f>
        <v>23107</v>
      </c>
      <c r="G183" t="str">
        <f ca="1">IFERROR(__xludf.DUMMYFUNCTION("""COMPUTED_VALUE"""),"ПЕСОК СТРОИТ")</f>
        <v>ПЕСОК СТРОИТ</v>
      </c>
      <c r="H183">
        <f ca="1">IFERROR(__xludf.DUMMYFUNCTION("""COMPUTED_VALUE"""),69)</f>
        <v>69</v>
      </c>
      <c r="I183">
        <f ca="1">IFERROR(__xludf.DUMMYFUNCTION("""COMPUTED_VALUE"""),6302)</f>
        <v>6302</v>
      </c>
      <c r="J183" t="str">
        <f ca="1">IFERROR(__xludf.DUMMYFUNCTION("""COMPUTED_VALUE"""),"9511 (34710-285-36240) ШАТРИЩЕ - КОЗОВА")</f>
        <v>9511 (34710-285-36240) ШАТРИЩЕ - КОЗОВА</v>
      </c>
      <c r="K183">
        <f ca="1">IFERROR(__xludf.DUMMYFUNCTION("""COMPUTED_VALUE"""),36000)</f>
        <v>36000</v>
      </c>
      <c r="L183" t="str">
        <f ca="1">IFERROR(__xludf.DUMMYFUNCTION("""COMPUTED_VALUE"""),"ТЕРНОПОЛЬ")</f>
        <v>ТЕРНОПОЛЬ</v>
      </c>
      <c r="M183" t="str">
        <f ca="1">IFERROR(__xludf.DUMMYFUNCTION("""COMPUTED_VALUE"""),"12.08.21 05-00")</f>
        <v>12.08.21 05-00</v>
      </c>
      <c r="N183" t="str">
        <f ca="1">IFERROR(__xludf.DUMMYFUNCTION("""COMPUTED_VALUE"""),"84 ДОСЛ")</f>
        <v>84 ДОСЛ</v>
      </c>
      <c r="O183">
        <f ca="1">IFERROR(__xludf.DUMMYFUNCTION("""COMPUTED_VALUE"""),36240)</f>
        <v>36240</v>
      </c>
      <c r="P183" t="str">
        <f ca="1">IFERROR(__xludf.DUMMYFUNCTION("""COMPUTED_VALUE"""),"КОЗОВА")</f>
        <v>КОЗОВА</v>
      </c>
      <c r="Q183">
        <f ca="1">IFERROR(__xludf.DUMMYFUNCTION("""COMPUTED_VALUE"""),34750)</f>
        <v>34750</v>
      </c>
      <c r="R183" t="str">
        <f ca="1">IFERROR(__xludf.DUMMYFUNCTION("""COMPUTED_VALUE"""),"ПЕНИЗЕВИЧИ")</f>
        <v>ПЕНИЗЕВИЧИ</v>
      </c>
      <c r="S183" t="str">
        <f ca="1">IFERROR(__xludf.DUMMYFUNCTION("""COMPUTED_VALUE"""),"09.08.21 10-10")</f>
        <v>09.08.21 10-10</v>
      </c>
      <c r="T183">
        <f ca="1">IFERROR(__xludf.DUMMYFUNCTION("""COMPUTED_VALUE"""),3437)</f>
        <v>3437</v>
      </c>
      <c r="U183" t="str">
        <f ca="1">IFERROR(__xludf.DUMMYFUNCTION("""COMPUTED_VALUE"""),"08.04.2023 ДР")</f>
        <v>08.04.2023 ДР</v>
      </c>
      <c r="Z183" t="str">
        <f ca="1">IFERROR(__xludf.DUMMYFUNCTION("""COMPUTED_VALUE"""),"ООО ""НПКП ""ПРОМКОМПЛЕКТ""")</f>
        <v>ООО "НПКП "ПРОМКОМПЛЕКТ"</v>
      </c>
      <c r="AA183" t="str">
        <f ca="1">IFERROR(__xludf.DUMMYFUNCTION("""COMPUTED_VALUE"""),"12-9745")</f>
        <v>12-9745</v>
      </c>
      <c r="AB183" t="str">
        <f ca="1">IFERROR(__xludf.DUMMYFUNCTION("""COMPUTED_VALUE"""),"45 ПРИДН")</f>
        <v>45 ПРИДН</v>
      </c>
      <c r="AC183" t="str">
        <f ca="1">IFERROR(__xludf.DUMMYFUNCTION("""COMPUTED_VALUE"""),"45170 ПРАВДА")</f>
        <v>45170 ПРАВДА</v>
      </c>
      <c r="AD183" t="str">
        <f ca="1">IFERROR(__xludf.DUMMYFUNCTION("""COMPUTED_VALUE"""),"13.04.21 20-05")</f>
        <v>13.04.21 20-05</v>
      </c>
      <c r="AE183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83" t="str">
        <f ca="1">IFERROR(__xludf.DUMMYFUNCTION("""COMPUTED_VALUE"""),"45 ПРИДН")</f>
        <v>45 ПРИДН</v>
      </c>
      <c r="AG183" t="str">
        <f ca="1">IFERROR(__xludf.DUMMYFUNCTION("""COMPUTED_VALUE"""),"45170 ПРАВДА")</f>
        <v>45170 ПРАВДА</v>
      </c>
      <c r="AH183" t="str">
        <f ca="1">IFERROR(__xludf.DUMMYFUNCTION("""COMPUTED_VALUE"""),"14.04.21 15-00")</f>
        <v>14.04.21 15-00</v>
      </c>
      <c r="AI183" s="21">
        <f ca="1">IFERROR(__xludf.DUMMYFUNCTION("""COMPUTED_VALUE"""),44420.3576736111)</f>
        <v>44420.357673611099</v>
      </c>
    </row>
    <row r="184" spans="1:35" ht="13" x14ac:dyDescent="0.15">
      <c r="A184">
        <f ca="1">IFERROR(__xludf.DUMMYFUNCTION("""COMPUTED_VALUE"""),735)</f>
        <v>735</v>
      </c>
      <c r="B184" t="str">
        <f ca="1">IFERROR(__xludf.DUMMYFUNCTION("""COMPUTED_VALUE"""),"Техрейс")</f>
        <v>Техрейс</v>
      </c>
      <c r="C184" t="str">
        <f ca="1">IFERROR(__xludf.DUMMYFUNCTION("""COMPUTED_VALUE"""),"Промкомплект")</f>
        <v>Промкомплект</v>
      </c>
      <c r="D184">
        <f ca="1">IFERROR(__xludf.DUMMYFUNCTION("""COMPUTED_VALUE"""),61909461)</f>
        <v>61909461</v>
      </c>
      <c r="E184" t="str">
        <f ca="1">IFERROR(__xludf.DUMMYFUNCTION("""COMPUTED_VALUE"""),"60 ПОЛУВАГОНЫ")</f>
        <v>60 ПОЛУВАГОНЫ</v>
      </c>
      <c r="F184">
        <f ca="1">IFERROR(__xludf.DUMMYFUNCTION("""COMPUTED_VALUE"""),43619)</f>
        <v>43619</v>
      </c>
      <c r="G184" t="str">
        <f ca="1">IFERROR(__xludf.DUMMYFUNCTION("""COMPUTED_VALUE"""),"УДОБР ХИМ ПР")</f>
        <v>УДОБР ХИМ ПР</v>
      </c>
      <c r="H184">
        <f ca="1">IFERROR(__xludf.DUMMYFUNCTION("""COMPUTED_VALUE"""),68)</f>
        <v>68</v>
      </c>
      <c r="I184">
        <f ca="1">IFERROR(__xludf.DUMMYFUNCTION("""COMPUTED_VALUE"""),2154)</f>
        <v>2154</v>
      </c>
      <c r="J184" t="str">
        <f ca="1">IFERROR(__xludf.DUMMYFUNCTION("""COMPUTED_VALUE"""),"2007 (41000-545-46710) ЗНАМЕНКА - КРИВ.РОГ-СОР")</f>
        <v>2007 (41000-545-46710) ЗНАМЕНКА - КРИВ.РОГ-СОР</v>
      </c>
      <c r="K184">
        <f ca="1">IFERROR(__xludf.DUMMYFUNCTION("""COMPUTED_VALUE"""),41400)</f>
        <v>41400</v>
      </c>
      <c r="L184" t="str">
        <f ca="1">IFERROR(__xludf.DUMMYFUNCTION("""COMPUTED_VALUE"""),"КУЦОВКА")</f>
        <v>КУЦОВКА</v>
      </c>
      <c r="M184" t="str">
        <f ca="1">IFERROR(__xludf.DUMMYFUNCTION("""COMPUTED_VALUE"""),"12.08.21 07-37")</f>
        <v>12.08.21 07-37</v>
      </c>
      <c r="N184" t="str">
        <f ca="1">IFERROR(__xludf.DUMMYFUNCTION("""COMPUTED_VALUE"""),"01 ПРИБ")</f>
        <v>01 ПРИБ</v>
      </c>
      <c r="O184">
        <f ca="1">IFERROR(__xludf.DUMMYFUNCTION("""COMPUTED_VALUE"""),46680)</f>
        <v>46680</v>
      </c>
      <c r="P184" t="str">
        <f ca="1">IFERROR(__xludf.DUMMYFUNCTION("""COMPUTED_VALUE"""),"РАДУШНАЯ")</f>
        <v>РАДУШНАЯ</v>
      </c>
      <c r="Q184">
        <f ca="1">IFERROR(__xludf.DUMMYFUNCTION("""COMPUTED_VALUE"""),40210)</f>
        <v>40210</v>
      </c>
      <c r="R184" t="str">
        <f ca="1">IFERROR(__xludf.DUMMYFUNCTION("""COMPUTED_VALUE"""),"ЧЕРНО-ПОРТ-Э")</f>
        <v>ЧЕРНО-ПОРТ-Э</v>
      </c>
      <c r="S184" t="str">
        <f ca="1">IFERROR(__xludf.DUMMYFUNCTION("""COMPUTED_VALUE"""),"04.08.21 18-22")</f>
        <v>04.08.21 18-22</v>
      </c>
      <c r="T184">
        <f ca="1">IFERROR(__xludf.DUMMYFUNCTION("""COMPUTED_VALUE"""),4307)</f>
        <v>4307</v>
      </c>
      <c r="U184" t="str">
        <f ca="1">IFERROR(__xludf.DUMMYFUNCTION("""COMPUTED_VALUE"""),"08.04.2023 ДР")</f>
        <v>08.04.2023 ДР</v>
      </c>
      <c r="Z184" t="str">
        <f ca="1">IFERROR(__xludf.DUMMYFUNCTION("""COMPUTED_VALUE"""),"ООО ""НПКП ""ПРОМКОМПЛЕКТ""")</f>
        <v>ООО "НПКП "ПРОМКОМПЛЕКТ"</v>
      </c>
      <c r="AA184" t="str">
        <f ca="1">IFERROR(__xludf.DUMMYFUNCTION("""COMPUTED_VALUE"""),"12-9745")</f>
        <v>12-9745</v>
      </c>
      <c r="AB184" t="str">
        <f ca="1">IFERROR(__xludf.DUMMYFUNCTION("""COMPUTED_VALUE"""),"35 ЛЬВ")</f>
        <v>35 ЛЬВ</v>
      </c>
      <c r="AC184" t="str">
        <f ca="1">IFERROR(__xludf.DUMMYFUNCTION("""COMPUTED_VALUE"""),"37000 ЛЬВОВ")</f>
        <v>37000 ЛЬВОВ</v>
      </c>
      <c r="AD184" t="str">
        <f ca="1">IFERROR(__xludf.DUMMYFUNCTION("""COMPUTED_VALUE"""),"17.09.20 14-36")</f>
        <v>17.09.20 14-36</v>
      </c>
      <c r="AE184" t="str">
        <f ca="1">IFERROR(__xludf.DUMMYFUNCTION("""COMPUTED_VALUE"""),"455")</f>
        <v>455</v>
      </c>
      <c r="AF184" t="str">
        <f ca="1">IFERROR(__xludf.DUMMYFUNCTION("""COMPUTED_VALUE"""),"35 ЛЬВ")</f>
        <v>35 ЛЬВ</v>
      </c>
      <c r="AG184" t="str">
        <f ca="1">IFERROR(__xludf.DUMMYFUNCTION("""COMPUTED_VALUE"""),"37000 ЛЬВОВ")</f>
        <v>37000 ЛЬВОВ</v>
      </c>
      <c r="AH184" t="str">
        <f ca="1">IFERROR(__xludf.DUMMYFUNCTION("""COMPUTED_VALUE"""),"22.09.20 15-45")</f>
        <v>22.09.20 15-45</v>
      </c>
      <c r="AI184" s="21">
        <f ca="1">IFERROR(__xludf.DUMMYFUNCTION("""COMPUTED_VALUE"""),44420.3576736111)</f>
        <v>44420.357673611099</v>
      </c>
    </row>
    <row r="185" spans="1:35" ht="13" x14ac:dyDescent="0.15">
      <c r="A185">
        <f ca="1">IFERROR(__xludf.DUMMYFUNCTION("""COMPUTED_VALUE"""),736)</f>
        <v>736</v>
      </c>
      <c r="B185" t="str">
        <f ca="1">IFERROR(__xludf.DUMMYFUNCTION("""COMPUTED_VALUE"""),"Лидер")</f>
        <v>Лидер</v>
      </c>
      <c r="C185" t="str">
        <f ca="1">IFERROR(__xludf.DUMMYFUNCTION("""COMPUTED_VALUE"""),"Промкомплект")</f>
        <v>Промкомплект</v>
      </c>
      <c r="D185">
        <f ca="1">IFERROR(__xludf.DUMMYFUNCTION("""COMPUTED_VALUE"""),61910212)</f>
        <v>61910212</v>
      </c>
      <c r="E185" t="str">
        <f ca="1">IFERROR(__xludf.DUMMYFUNCTION("""COMPUTED_VALUE"""),"60 ПОЛУВАГОНЫ")</f>
        <v>60 ПОЛУВАГОНЫ</v>
      </c>
      <c r="F185">
        <f ca="1">IFERROR(__xludf.DUMMYFUNCTION("""COMPUTED_VALUE"""),42103)</f>
        <v>42103</v>
      </c>
      <c r="G185" t="str">
        <f ca="1">IFERROR(__xludf.DUMMYFUNCTION("""COMPUTED_VALUE"""),"ВАГОНЫ ЖД СВ")</f>
        <v>ВАГОНЫ ЖД СВ</v>
      </c>
      <c r="H185">
        <f ca="1">IFERROR(__xludf.DUMMYFUNCTION("""COMPUTED_VALUE"""),0)</f>
        <v>0</v>
      </c>
      <c r="I185">
        <f ca="1">IFERROR(__xludf.DUMMYFUNCTION("""COMPUTED_VALUE"""),7052)</f>
        <v>7052</v>
      </c>
      <c r="J185" t="str">
        <f ca="1">IFERROR(__xludf.DUMMYFUNCTION("""COMPUTED_VALUE"""),"3502 (34630-492-34850) КОРОСТЕНЬ - УШИЦА")</f>
        <v>3502 (34630-492-34850) КОРОСТЕНЬ - УШИЦА</v>
      </c>
      <c r="K185">
        <f ca="1">IFERROR(__xludf.DUMMYFUNCTION("""COMPUTED_VALUE"""),34640)</f>
        <v>34640</v>
      </c>
      <c r="L185" t="str">
        <f ca="1">IFERROR(__xludf.DUMMYFUNCTION("""COMPUTED_VALUE"""),"КОРОСТ-ПОДОЛ")</f>
        <v>КОРОСТ-ПОДОЛ</v>
      </c>
      <c r="M185" t="str">
        <f ca="1">IFERROR(__xludf.DUMMYFUNCTION("""COMPUTED_VALUE"""),"12.08.21 05-56")</f>
        <v>12.08.21 05-56</v>
      </c>
      <c r="N185" t="str">
        <f ca="1">IFERROR(__xludf.DUMMYFUNCTION("""COMPUTED_VALUE"""),"01 ПРИБ")</f>
        <v>01 ПРИБ</v>
      </c>
      <c r="O185">
        <f ca="1">IFERROR(__xludf.DUMMYFUNCTION("""COMPUTED_VALUE"""),34850)</f>
        <v>34850</v>
      </c>
      <c r="P185" t="str">
        <f ca="1">IFERROR(__xludf.DUMMYFUNCTION("""COMPUTED_VALUE"""),"УШИЦА")</f>
        <v>УШИЦА</v>
      </c>
      <c r="Q185">
        <f ca="1">IFERROR(__xludf.DUMMYFUNCTION("""COMPUTED_VALUE"""),49870)</f>
        <v>49870</v>
      </c>
      <c r="R185" t="str">
        <f ca="1">IFERROR(__xludf.DUMMYFUNCTION("""COMPUTED_VALUE"""),"РУБЕЖНОЕ")</f>
        <v>РУБЕЖНОЕ</v>
      </c>
      <c r="S185" t="str">
        <f ca="1">IFERROR(__xludf.DUMMYFUNCTION("""COMPUTED_VALUE"""),"06.08.21 20-40")</f>
        <v>06.08.21 20-40</v>
      </c>
      <c r="T185">
        <f ca="1">IFERROR(__xludf.DUMMYFUNCTION("""COMPUTED_VALUE"""),2992)</f>
        <v>2992</v>
      </c>
      <c r="U185" t="str">
        <f ca="1">IFERROR(__xludf.DUMMYFUNCTION("""COMPUTED_VALUE"""),"09.04.2023 ДР")</f>
        <v>09.04.2023 ДР</v>
      </c>
      <c r="Z185" t="str">
        <f ca="1">IFERROR(__xludf.DUMMYFUNCTION("""COMPUTED_VALUE"""),"ООО ""НПКП ""ПРОМКОМПЛЕКТ""")</f>
        <v>ООО "НПКП "ПРОМКОМПЛЕКТ"</v>
      </c>
      <c r="AA185" t="str">
        <f ca="1">IFERROR(__xludf.DUMMYFUNCTION("""COMPUTED_VALUE"""),"12-9745")</f>
        <v>12-9745</v>
      </c>
      <c r="AB185" t="str">
        <f ca="1">IFERROR(__xludf.DUMMYFUNCTION("""COMPUTED_VALUE"""),"32 Ю-ЗАП")</f>
        <v>32 Ю-ЗАП</v>
      </c>
      <c r="AC185" t="str">
        <f ca="1">IFERROR(__xludf.DUMMYFUNCTION("""COMPUTED_VALUE"""),"33000 ЖМЕРИНКА")</f>
        <v>33000 ЖМЕРИНКА</v>
      </c>
      <c r="AD185" t="str">
        <f ca="1">IFERROR(__xludf.DUMMYFUNCTION("""COMPUTED_VALUE"""),"03.04.20 15-33")</f>
        <v>03.04.20 15-33</v>
      </c>
      <c r="AE185" t="str">
        <f ca="1">IFERROR(__xludf.DUMMYFUNCTION("""COMPUTED_VALUE"""),"570 ИCТEК КAЛЕНДАРНЫЙ CPOК ДEПOВCКОГО PEМOНТA")</f>
        <v>570 ИCТEК КAЛЕНДАРНЫЙ CPOК ДEПOВCКОГО PEМOНТA</v>
      </c>
      <c r="AF185" t="str">
        <f ca="1">IFERROR(__xludf.DUMMYFUNCTION("""COMPUTED_VALUE"""),"32 Ю-ЗАП")</f>
        <v>32 Ю-ЗАП</v>
      </c>
      <c r="AG185" t="str">
        <f ca="1">IFERROR(__xludf.DUMMYFUNCTION("""COMPUTED_VALUE"""),"33000 ЖМЕРИНКА")</f>
        <v>33000 ЖМЕРИНКА</v>
      </c>
      <c r="AH185" t="str">
        <f ca="1">IFERROR(__xludf.DUMMYFUNCTION("""COMPUTED_VALUE"""),"09.04.20 14-07")</f>
        <v>09.04.20 14-07</v>
      </c>
      <c r="AI185" s="21">
        <f ca="1">IFERROR(__xludf.DUMMYFUNCTION("""COMPUTED_VALUE"""),44420.3576736111)</f>
        <v>44420.357673611099</v>
      </c>
    </row>
    <row r="186" spans="1:35" ht="13" x14ac:dyDescent="0.15">
      <c r="A186">
        <f ca="1">IFERROR(__xludf.DUMMYFUNCTION("""COMPUTED_VALUE"""),737)</f>
        <v>737</v>
      </c>
      <c r="B186" t="str">
        <f ca="1">IFERROR(__xludf.DUMMYFUNCTION("""COMPUTED_VALUE"""),"Лидер")</f>
        <v>Лидер</v>
      </c>
      <c r="C186" t="str">
        <f ca="1">IFERROR(__xludf.DUMMYFUNCTION("""COMPUTED_VALUE"""),"Промкомплект")</f>
        <v>Промкомплект</v>
      </c>
      <c r="D186">
        <f ca="1">IFERROR(__xludf.DUMMYFUNCTION("""COMPUTED_VALUE"""),61910170)</f>
        <v>61910170</v>
      </c>
      <c r="E186" t="str">
        <f ca="1">IFERROR(__xludf.DUMMYFUNCTION("""COMPUTED_VALUE"""),"60 ПОЛУВАГОНЫ")</f>
        <v>60 ПОЛУВАГОНЫ</v>
      </c>
      <c r="F186">
        <f ca="1">IFERROR(__xludf.DUMMYFUNCTION("""COMPUTED_VALUE"""),42103)</f>
        <v>42103</v>
      </c>
      <c r="G186" t="str">
        <f ca="1">IFERROR(__xludf.DUMMYFUNCTION("""COMPUTED_VALUE"""),"ВАГОНЫ ЖД СВ")</f>
        <v>ВАГОНЫ ЖД СВ</v>
      </c>
      <c r="H186">
        <f ca="1">IFERROR(__xludf.DUMMYFUNCTION("""COMPUTED_VALUE"""),0)</f>
        <v>0</v>
      </c>
      <c r="I186">
        <f ca="1">IFERROR(__xludf.DUMMYFUNCTION("""COMPUTED_VALUE"""),3437)</f>
        <v>3437</v>
      </c>
      <c r="J186" t="str">
        <f ca="1">IFERROR(__xludf.DUMMYFUNCTION("""COMPUTED_VALUE"""),"2727 (44020-209-32000) ОСНОВА - ДАРНИЦА")</f>
        <v>2727 (44020-209-32000) ОСНОВА - ДАРНИЦА</v>
      </c>
      <c r="K186">
        <f ca="1">IFERROR(__xludf.DUMMYFUNCTION("""COMPUTED_VALUE"""),32250)</f>
        <v>32250</v>
      </c>
      <c r="L186" t="str">
        <f ca="1">IFERROR(__xludf.DUMMYFUNCTION("""COMPUTED_VALUE"""),"ИМ.Г.КИРПЫ")</f>
        <v>ИМ.Г.КИРПЫ</v>
      </c>
      <c r="M186" t="str">
        <f ca="1">IFERROR(__xludf.DUMMYFUNCTION("""COMPUTED_VALUE"""),"11.08.21 15-01")</f>
        <v>11.08.21 15-01</v>
      </c>
      <c r="N186" t="str">
        <f ca="1">IFERROR(__xludf.DUMMYFUNCTION("""COMPUTED_VALUE"""),"01 ПРИБ")</f>
        <v>01 ПРИБ</v>
      </c>
      <c r="O186">
        <f ca="1">IFERROR(__xludf.DUMMYFUNCTION("""COMPUTED_VALUE"""),34750)</f>
        <v>34750</v>
      </c>
      <c r="P186" t="str">
        <f ca="1">IFERROR(__xludf.DUMMYFUNCTION("""COMPUTED_VALUE"""),"ПЕНИЗЕВИЧИ")</f>
        <v>ПЕНИЗЕВИЧИ</v>
      </c>
      <c r="Q186">
        <f ca="1">IFERROR(__xludf.DUMMYFUNCTION("""COMPUTED_VALUE"""),49870)</f>
        <v>49870</v>
      </c>
      <c r="R186" t="str">
        <f ca="1">IFERROR(__xludf.DUMMYFUNCTION("""COMPUTED_VALUE"""),"РУБЕЖНОЕ")</f>
        <v>РУБЕЖНОЕ</v>
      </c>
      <c r="S186" t="str">
        <f ca="1">IFERROR(__xludf.DUMMYFUNCTION("""COMPUTED_VALUE"""),"07.08.21 23-10")</f>
        <v>07.08.21 23-10</v>
      </c>
      <c r="T186">
        <f ca="1">IFERROR(__xludf.DUMMYFUNCTION("""COMPUTED_VALUE"""),2992)</f>
        <v>2992</v>
      </c>
      <c r="U186" t="str">
        <f ca="1">IFERROR(__xludf.DUMMYFUNCTION("""COMPUTED_VALUE"""),"06.04.2023 ДР")</f>
        <v>06.04.2023 ДР</v>
      </c>
      <c r="Z186" t="str">
        <f ca="1">IFERROR(__xludf.DUMMYFUNCTION("""COMPUTED_VALUE"""),"ООО ""НПКП ""ПРОМКОМПЛЕКТ""")</f>
        <v>ООО "НПКП "ПРОМКОМПЛЕКТ"</v>
      </c>
      <c r="AA186" t="str">
        <f ca="1">IFERROR(__xludf.DUMMYFUNCTION("""COMPUTED_VALUE"""),"12-9745")</f>
        <v>12-9745</v>
      </c>
      <c r="AB186" t="str">
        <f ca="1">IFERROR(__xludf.DUMMYFUNCTION("""COMPUTED_VALUE"""),"32 Ю-ЗАП")</f>
        <v>32 Ю-ЗАП</v>
      </c>
      <c r="AC186" t="str">
        <f ca="1">IFERROR(__xludf.DUMMYFUNCTION("""COMPUTED_VALUE"""),"33000 ЖМЕРИНКА")</f>
        <v>33000 ЖМЕРИНКА</v>
      </c>
      <c r="AD186" t="str">
        <f ca="1">IFERROR(__xludf.DUMMYFUNCTION("""COMPUTED_VALUE"""),"01.04.20 16-01")</f>
        <v>01.04.20 16-01</v>
      </c>
      <c r="AE186" t="str">
        <f ca="1">IFERROR(__xludf.DUMMYFUNCTION("""COMPUTED_VALUE"""),"570 ИCТEК КAЛЕНДАРНЫЙ CPOК ДEПOВCКОГО PEМOНТA")</f>
        <v>570 ИCТEК КAЛЕНДАРНЫЙ CPOК ДEПOВCКОГО PEМOНТA</v>
      </c>
      <c r="AF186" t="str">
        <f ca="1">IFERROR(__xludf.DUMMYFUNCTION("""COMPUTED_VALUE"""),"32 Ю-ЗАП")</f>
        <v>32 Ю-ЗАП</v>
      </c>
      <c r="AG186" t="str">
        <f ca="1">IFERROR(__xludf.DUMMYFUNCTION("""COMPUTED_VALUE"""),"33000 ЖМЕРИНКА")</f>
        <v>33000 ЖМЕРИНКА</v>
      </c>
      <c r="AH186" t="str">
        <f ca="1">IFERROR(__xludf.DUMMYFUNCTION("""COMPUTED_VALUE"""),"06.04.20 11-39")</f>
        <v>06.04.20 11-39</v>
      </c>
      <c r="AI186" s="21">
        <f ca="1">IFERROR(__xludf.DUMMYFUNCTION("""COMPUTED_VALUE"""),44420.3576736111)</f>
        <v>44420.357673611099</v>
      </c>
    </row>
    <row r="187" spans="1:35" ht="13" x14ac:dyDescent="0.15">
      <c r="A187">
        <f ca="1">IFERROR(__xludf.DUMMYFUNCTION("""COMPUTED_VALUE"""),738)</f>
        <v>738</v>
      </c>
      <c r="B187" t="str">
        <f ca="1">IFERROR(__xludf.DUMMYFUNCTION("""COMPUTED_VALUE"""),"Лидер")</f>
        <v>Лидер</v>
      </c>
      <c r="C187" t="str">
        <f ca="1">IFERROR(__xludf.DUMMYFUNCTION("""COMPUTED_VALUE"""),"Промкомплект")</f>
        <v>Промкомплект</v>
      </c>
      <c r="D187">
        <f ca="1">IFERROR(__xludf.DUMMYFUNCTION("""COMPUTED_VALUE"""),60415965)</f>
        <v>60415965</v>
      </c>
      <c r="E187" t="str">
        <f ca="1">IFERROR(__xludf.DUMMYFUNCTION("""COMPUTED_VALUE"""),"60 ПОЛУВАГОНЫ")</f>
        <v>60 ПОЛУВАГОНЫ</v>
      </c>
      <c r="F187">
        <f ca="1">IFERROR(__xludf.DUMMYFUNCTION("""COMPUTED_VALUE"""),42103)</f>
        <v>42103</v>
      </c>
      <c r="G187" t="str">
        <f ca="1">IFERROR(__xludf.DUMMYFUNCTION("""COMPUTED_VALUE"""),"ВАГОНЫ ЖД СВ")</f>
        <v>ВАГОНЫ ЖД СВ</v>
      </c>
      <c r="H187">
        <f ca="1">IFERROR(__xludf.DUMMYFUNCTION("""COMPUTED_VALUE"""),0)</f>
        <v>0</v>
      </c>
      <c r="I187">
        <f ca="1">IFERROR(__xludf.DUMMYFUNCTION("""COMPUTED_VALUE"""),3437)</f>
        <v>3437</v>
      </c>
      <c r="J187" t="str">
        <f ca="1">IFERROR(__xludf.DUMMYFUNCTION("""COMPUTED_VALUE"""),"2717 (43000-097-32000) КУПЯНСК-СОРТ - ДАРНИЦА")</f>
        <v>2717 (43000-097-32000) КУПЯНСК-СОРТ - ДАРНИЦА</v>
      </c>
      <c r="K187">
        <f ca="1">IFERROR(__xludf.DUMMYFUNCTION("""COMPUTED_VALUE"""),32000)</f>
        <v>32000</v>
      </c>
      <c r="L187" t="str">
        <f ca="1">IFERROR(__xludf.DUMMYFUNCTION("""COMPUTED_VALUE"""),"ДАРНИЦА")</f>
        <v>ДАРНИЦА</v>
      </c>
      <c r="M187" t="str">
        <f ca="1">IFERROR(__xludf.DUMMYFUNCTION("""COMPUTED_VALUE"""),"11.08.21 19-22")</f>
        <v>11.08.21 19-22</v>
      </c>
      <c r="N187" t="str">
        <f ca="1">IFERROR(__xludf.DUMMYFUNCTION("""COMPUTED_VALUE"""),"51 ПРИБ")</f>
        <v>51 ПРИБ</v>
      </c>
      <c r="O187">
        <f ca="1">IFERROR(__xludf.DUMMYFUNCTION("""COMPUTED_VALUE"""),34750)</f>
        <v>34750</v>
      </c>
      <c r="P187" t="str">
        <f ca="1">IFERROR(__xludf.DUMMYFUNCTION("""COMPUTED_VALUE"""),"ПЕНИЗЕВИЧИ")</f>
        <v>ПЕНИЗЕВИЧИ</v>
      </c>
      <c r="Q187">
        <f ca="1">IFERROR(__xludf.DUMMYFUNCTION("""COMPUTED_VALUE"""),49870)</f>
        <v>49870</v>
      </c>
      <c r="R187" t="str">
        <f ca="1">IFERROR(__xludf.DUMMYFUNCTION("""COMPUTED_VALUE"""),"РУБЕЖНОЕ")</f>
        <v>РУБЕЖНОЕ</v>
      </c>
      <c r="S187" t="str">
        <f ca="1">IFERROR(__xludf.DUMMYFUNCTION("""COMPUTED_VALUE"""),"08.08.21 13-00")</f>
        <v>08.08.21 13-00</v>
      </c>
      <c r="T187">
        <f ca="1">IFERROR(__xludf.DUMMYFUNCTION("""COMPUTED_VALUE"""),2992)</f>
        <v>2992</v>
      </c>
      <c r="U187" t="str">
        <f ca="1">IFERROR(__xludf.DUMMYFUNCTION("""COMPUTED_VALUE"""),"12.04.2023 ДР")</f>
        <v>12.04.2023 ДР</v>
      </c>
      <c r="Z187" t="str">
        <f ca="1">IFERROR(__xludf.DUMMYFUNCTION("""COMPUTED_VALUE"""),"ООО ""НПКП ""ПРОМКОМПЛЕКТ""")</f>
        <v>ООО "НПКП "ПРОМКОМПЛЕКТ"</v>
      </c>
      <c r="AA187" t="str">
        <f ca="1">IFERROR(__xludf.DUMMYFUNCTION("""COMPUTED_VALUE"""),"12-9745")</f>
        <v>12-9745</v>
      </c>
      <c r="AB187" t="str">
        <f ca="1">IFERROR(__xludf.DUMMYFUNCTION("""COMPUTED_VALUE"""),"32 Ю-ЗАП")</f>
        <v>32 Ю-ЗАП</v>
      </c>
      <c r="AC187" t="str">
        <f ca="1">IFERROR(__xludf.DUMMYFUNCTION("""COMPUTED_VALUE"""),"33000 ЖМЕРИНКА")</f>
        <v>33000 ЖМЕРИНКА</v>
      </c>
      <c r="AD187" t="str">
        <f ca="1">IFERROR(__xludf.DUMMYFUNCTION("""COMPUTED_VALUE"""),"09.04.20 08-57")</f>
        <v>09.04.20 08-57</v>
      </c>
      <c r="AE187" t="str">
        <f ca="1">IFERROR(__xludf.DUMMYFUNCTION("""COMPUTED_VALUE"""),"570 ИCТEК КAЛЕНДАРНЫЙ CPOК ДEПOВCКОГО PEМOНТA")</f>
        <v>570 ИCТEК КAЛЕНДАРНЫЙ CPOК ДEПOВCКОГО PEМOНТA</v>
      </c>
      <c r="AF187" t="str">
        <f ca="1">IFERROR(__xludf.DUMMYFUNCTION("""COMPUTED_VALUE"""),"32 Ю-ЗАП")</f>
        <v>32 Ю-ЗАП</v>
      </c>
      <c r="AG187" t="str">
        <f ca="1">IFERROR(__xludf.DUMMYFUNCTION("""COMPUTED_VALUE"""),"33000 ЖМЕРИНКА")</f>
        <v>33000 ЖМЕРИНКА</v>
      </c>
      <c r="AH187" t="str">
        <f ca="1">IFERROR(__xludf.DUMMYFUNCTION("""COMPUTED_VALUE"""),"12.04.20 11-04")</f>
        <v>12.04.20 11-04</v>
      </c>
      <c r="AI187" s="21">
        <f ca="1">IFERROR(__xludf.DUMMYFUNCTION("""COMPUTED_VALUE"""),44420.3576736111)</f>
        <v>44420.357673611099</v>
      </c>
    </row>
    <row r="188" spans="1:35" ht="13" x14ac:dyDescent="0.15">
      <c r="A188">
        <f ca="1">IFERROR(__xludf.DUMMYFUNCTION("""COMPUTED_VALUE"""),739)</f>
        <v>739</v>
      </c>
      <c r="B188" t="str">
        <f ca="1">IFERROR(__xludf.DUMMYFUNCTION("""COMPUTED_VALUE"""),"Техрейс")</f>
        <v>Техрейс</v>
      </c>
      <c r="C188" t="str">
        <f ca="1">IFERROR(__xludf.DUMMYFUNCTION("""COMPUTED_VALUE"""),"Промкомплект")</f>
        <v>Промкомплект</v>
      </c>
      <c r="D188">
        <f ca="1">IFERROR(__xludf.DUMMYFUNCTION("""COMPUTED_VALUE"""),60415981)</f>
        <v>60415981</v>
      </c>
      <c r="E188" t="str">
        <f ca="1">IFERROR(__xludf.DUMMYFUNCTION("""COMPUTED_VALUE"""),"60 ПОЛУВАГОНЫ")</f>
        <v>60 ПОЛУВАГОНЫ</v>
      </c>
      <c r="F188">
        <f ca="1">IFERROR(__xludf.DUMMYFUNCTION("""COMPUTED_VALUE"""),24133)</f>
        <v>24133</v>
      </c>
      <c r="G188" t="str">
        <f ca="1">IFERROR(__xludf.DUMMYFUNCTION("""COMPUTED_VALUE"""),"КАМЕНЬ ИЗВЕСТ")</f>
        <v>КАМЕНЬ ИЗВЕСТ</v>
      </c>
      <c r="H188">
        <f ca="1">IFERROR(__xludf.DUMMYFUNCTION("""COMPUTED_VALUE"""),68)</f>
        <v>68</v>
      </c>
      <c r="I188">
        <f ca="1">IFERROR(__xludf.DUMMYFUNCTION("""COMPUTED_VALUE"""),2421)</f>
        <v>2421</v>
      </c>
      <c r="J188" t="str">
        <f ca="1">IFERROR(__xludf.DUMMYFUNCTION("""COMPUTED_VALUE"""),"3105 (41780-031-41510) ХЕРСОН - НИКОЛАЕВ")</f>
        <v>3105 (41780-031-41510) ХЕРСОН - НИКОЛАЕВ</v>
      </c>
      <c r="K188">
        <f ca="1">IFERROR(__xludf.DUMMYFUNCTION("""COMPUTED_VALUE"""),41510)</f>
        <v>41510</v>
      </c>
      <c r="L188" t="str">
        <f ca="1">IFERROR(__xludf.DUMMYFUNCTION("""COMPUTED_VALUE"""),"НИКОЛАЕВ")</f>
        <v>НИКОЛАЕВ</v>
      </c>
      <c r="M188" t="str">
        <f ca="1">IFERROR(__xludf.DUMMYFUNCTION("""COMPUTED_VALUE"""),"11.08.21 12-10")</f>
        <v>11.08.21 12-10</v>
      </c>
      <c r="N188" t="str">
        <f ca="1">IFERROR(__xludf.DUMMYFUNCTION("""COMPUTED_VALUE"""),"04 РАСФ")</f>
        <v>04 РАСФ</v>
      </c>
      <c r="O188">
        <f ca="1">IFERROR(__xludf.DUMMYFUNCTION("""COMPUTED_VALUE"""),32210)</f>
        <v>32210</v>
      </c>
      <c r="P188" t="str">
        <f ca="1">IFERROR(__xludf.DUMMYFUNCTION("""COMPUTED_VALUE"""),"БУЧА")</f>
        <v>БУЧА</v>
      </c>
      <c r="Q188">
        <f ca="1">IFERROR(__xludf.DUMMYFUNCTION("""COMPUTED_VALUE"""),41790)</f>
        <v>41790</v>
      </c>
      <c r="R188" t="str">
        <f ca="1">IFERROR(__xludf.DUMMYFUNCTION("""COMPUTED_VALUE"""),"ХЕРСОН-ПОРТ")</f>
        <v>ХЕРСОН-ПОРТ</v>
      </c>
      <c r="S188" t="str">
        <f ca="1">IFERROR(__xludf.DUMMYFUNCTION("""COMPUTED_VALUE"""),"08.08.21 18-35")</f>
        <v>08.08.21 18-35</v>
      </c>
      <c r="T188">
        <f ca="1">IFERROR(__xludf.DUMMYFUNCTION("""COMPUTED_VALUE"""),9120)</f>
        <v>9120</v>
      </c>
      <c r="U188" t="str">
        <f ca="1">IFERROR(__xludf.DUMMYFUNCTION("""COMPUTED_VALUE"""),"29.04.2023 ДР")</f>
        <v>29.04.2023 ДР</v>
      </c>
      <c r="Z188" t="str">
        <f ca="1">IFERROR(__xludf.DUMMYFUNCTION("""COMPUTED_VALUE"""),"ООО ""НПКП ""ПРОМКОМПЛЕКТ""")</f>
        <v>ООО "НПКП "ПРОМКОМПЛЕКТ"</v>
      </c>
      <c r="AA188" t="str">
        <f ca="1">IFERROR(__xludf.DUMMYFUNCTION("""COMPUTED_VALUE"""),"12-9745")</f>
        <v>12-9745</v>
      </c>
      <c r="AB188" t="str">
        <f ca="1">IFERROR(__xludf.DUMMYFUNCTION("""COMPUTED_VALUE"""),"32 Ю-ЗАП")</f>
        <v>32 Ю-ЗАП</v>
      </c>
      <c r="AC188" t="str">
        <f ca="1">IFERROR(__xludf.DUMMYFUNCTION("""COMPUTED_VALUE"""),"33000 ЖМЕРИНКА")</f>
        <v>33000 ЖМЕРИНКА</v>
      </c>
      <c r="AD188" t="str">
        <f ca="1">IFERROR(__xludf.DUMMYFUNCTION("""COMPUTED_VALUE"""),"02.03.21 01-05")</f>
        <v>02.03.21 01-05</v>
      </c>
      <c r="AE188" t="str">
        <f ca="1">IFERROR(__xludf.DUMMYFUNCTION("""COMPUTED_VALUE"""),"212 ТPEЩИНA КOЛПAКA CКOЛЬЗУНA")</f>
        <v>212 ТPEЩИНA КOЛПAКA CКOЛЬЗУНA</v>
      </c>
      <c r="AF188" t="str">
        <f ca="1">IFERROR(__xludf.DUMMYFUNCTION("""COMPUTED_VALUE"""),"32 Ю-ЗАП")</f>
        <v>32 Ю-ЗАП</v>
      </c>
      <c r="AG188" t="str">
        <f ca="1">IFERROR(__xludf.DUMMYFUNCTION("""COMPUTED_VALUE"""),"33000 ЖМЕРИНКА")</f>
        <v>33000 ЖМЕРИНКА</v>
      </c>
      <c r="AH188" t="str">
        <f ca="1">IFERROR(__xludf.DUMMYFUNCTION("""COMPUTED_VALUE"""),"12.03.21 17-40")</f>
        <v>12.03.21 17-40</v>
      </c>
      <c r="AI188" s="21">
        <f ca="1">IFERROR(__xludf.DUMMYFUNCTION("""COMPUTED_VALUE"""),44420.3576736111)</f>
        <v>44420.357673611099</v>
      </c>
    </row>
    <row r="189" spans="1:35" ht="13" x14ac:dyDescent="0.15">
      <c r="A189">
        <f ca="1">IFERROR(__xludf.DUMMYFUNCTION("""COMPUTED_VALUE"""),740)</f>
        <v>740</v>
      </c>
      <c r="B189" t="str">
        <f ca="1">IFERROR(__xludf.DUMMYFUNCTION("""COMPUTED_VALUE"""),"Техрейс")</f>
        <v>Техрейс</v>
      </c>
      <c r="C189" t="str">
        <f ca="1">IFERROR(__xludf.DUMMYFUNCTION("""COMPUTED_VALUE"""),"Промкомплект")</f>
        <v>Промкомплект</v>
      </c>
      <c r="D189">
        <f ca="1">IFERROR(__xludf.DUMMYFUNCTION("""COMPUTED_VALUE"""),60416005)</f>
        <v>60416005</v>
      </c>
      <c r="E189" t="str">
        <f ca="1">IFERROR(__xludf.DUMMYFUNCTION("""COMPUTED_VALUE"""),"60 ПОЛУВАГОНЫ")</f>
        <v>60 ПОЛУВАГОНЫ</v>
      </c>
      <c r="F189">
        <f ca="1">IFERROR(__xludf.DUMMYFUNCTION("""COMPUTED_VALUE"""),42103)</f>
        <v>42103</v>
      </c>
      <c r="G189" t="str">
        <f ca="1">IFERROR(__xludf.DUMMYFUNCTION("""COMPUTED_VALUE"""),"ВАГОНЫ ЖД СВ")</f>
        <v>ВАГОНЫ ЖД СВ</v>
      </c>
      <c r="H189">
        <f ca="1">IFERROR(__xludf.DUMMYFUNCTION("""COMPUTED_VALUE"""),0)</f>
        <v>0</v>
      </c>
      <c r="I189">
        <f ca="1">IFERROR(__xludf.DUMMYFUNCTION("""COMPUTED_VALUE"""),4307)</f>
        <v>4307</v>
      </c>
      <c r="J189" t="str">
        <f ca="1">IFERROR(__xludf.DUMMYFUNCTION("""COMPUTED_VALUE"""),"3001 (40110-067-40000) ЧЕРНОМОРСКАЯ - ОДЕССА-СОРТ")</f>
        <v>3001 (40110-067-40000) ЧЕРНОМОРСКАЯ - ОДЕССА-СОРТ</v>
      </c>
      <c r="K189">
        <f ca="1">IFERROR(__xludf.DUMMYFUNCTION("""COMPUTED_VALUE"""),40100)</f>
        <v>40100</v>
      </c>
      <c r="L189" t="str">
        <f ca="1">IFERROR(__xludf.DUMMYFUNCTION("""COMPUTED_VALUE"""),"КРЕМИДОВКА")</f>
        <v>КРЕМИДОВКА</v>
      </c>
      <c r="M189" t="str">
        <f ca="1">IFERROR(__xludf.DUMMYFUNCTION("""COMPUTED_VALUE"""),"11.08.21 04-21")</f>
        <v>11.08.21 04-21</v>
      </c>
      <c r="N189" t="str">
        <f ca="1">IFERROR(__xludf.DUMMYFUNCTION("""COMPUTED_VALUE"""),"01 ПРИБ")</f>
        <v>01 ПРИБ</v>
      </c>
      <c r="O189">
        <f ca="1">IFERROR(__xludf.DUMMYFUNCTION("""COMPUTED_VALUE"""),40200)</f>
        <v>40200</v>
      </c>
      <c r="P189" t="str">
        <f ca="1">IFERROR(__xludf.DUMMYFUNCTION("""COMPUTED_VALUE"""),"ЧЕРНОМОРСК-П")</f>
        <v>ЧЕРНОМОРСК-П</v>
      </c>
      <c r="Q189">
        <f ca="1">IFERROR(__xludf.DUMMYFUNCTION("""COMPUTED_VALUE"""),40050)</f>
        <v>40050</v>
      </c>
      <c r="R189" t="str">
        <f ca="1">IFERROR(__xludf.DUMMYFUNCTION("""COMPUTED_VALUE"""),"БЕРЕГОВАЯ")</f>
        <v>БЕРЕГОВАЯ</v>
      </c>
      <c r="S189" t="str">
        <f ca="1">IFERROR(__xludf.DUMMYFUNCTION("""COMPUTED_VALUE"""),"07.08.21 07-10")</f>
        <v>07.08.21 07-10</v>
      </c>
      <c r="T189">
        <f ca="1">IFERROR(__xludf.DUMMYFUNCTION("""COMPUTED_VALUE"""),8200)</f>
        <v>8200</v>
      </c>
      <c r="U189" t="str">
        <f ca="1">IFERROR(__xludf.DUMMYFUNCTION("""COMPUTED_VALUE"""),"23.04.2023 ДР")</f>
        <v>23.04.2023 ДР</v>
      </c>
      <c r="Z189" t="str">
        <f ca="1">IFERROR(__xludf.DUMMYFUNCTION("""COMPUTED_VALUE"""),"ООО ""НПКП ""ПРОМКОМПЛЕКТ""")</f>
        <v>ООО "НПКП "ПРОМКОМПЛЕКТ"</v>
      </c>
      <c r="AA189" t="str">
        <f ca="1">IFERROR(__xludf.DUMMYFUNCTION("""COMPUTED_VALUE"""),"12-9745")</f>
        <v>12-9745</v>
      </c>
      <c r="AB189" t="str">
        <f ca="1">IFERROR(__xludf.DUMMYFUNCTION("""COMPUTED_VALUE"""),"43 ЮЖН")</f>
        <v>43 ЮЖН</v>
      </c>
      <c r="AC189" t="str">
        <f ca="1">IFERROR(__xludf.DUMMYFUNCTION("""COMPUTED_VALUE"""),"44870 ПОЛТАВА-ЮЖН")</f>
        <v>44870 ПОЛТАВА-ЮЖН</v>
      </c>
      <c r="AD189" t="str">
        <f ca="1">IFERROR(__xludf.DUMMYFUNCTION("""COMPUTED_VALUE"""),"15.06.21 09-00")</f>
        <v>15.06.21 09-00</v>
      </c>
      <c r="AE189" t="str">
        <f ca="1">IFERROR(__xludf.DUMMYFUNCTION("""COMPUTED_VALUE"""),"402 НEИCПPAВНOCТЬ AВТOPEГУЛЯТOPA")</f>
        <v>402 НEИCПPAВНOCТЬ AВТOPEГУЛЯТOPA</v>
      </c>
      <c r="AF189" t="str">
        <f ca="1">IFERROR(__xludf.DUMMYFUNCTION("""COMPUTED_VALUE"""),"43 ЮЖН")</f>
        <v>43 ЮЖН</v>
      </c>
      <c r="AG189" t="str">
        <f ca="1">IFERROR(__xludf.DUMMYFUNCTION("""COMPUTED_VALUE"""),"44870 ПОЛТАВА-ЮЖН")</f>
        <v>44870 ПОЛТАВА-ЮЖН</v>
      </c>
      <c r="AH189" t="str">
        <f ca="1">IFERROR(__xludf.DUMMYFUNCTION("""COMPUTED_VALUE"""),"18.06.21 14-30")</f>
        <v>18.06.21 14-30</v>
      </c>
      <c r="AI189" s="21">
        <f ca="1">IFERROR(__xludf.DUMMYFUNCTION("""COMPUTED_VALUE"""),44420.3576736111)</f>
        <v>44420.357673611099</v>
      </c>
    </row>
    <row r="190" spans="1:35" ht="13" x14ac:dyDescent="0.15">
      <c r="A190">
        <f ca="1">IFERROR(__xludf.DUMMYFUNCTION("""COMPUTED_VALUE"""),743)</f>
        <v>743</v>
      </c>
      <c r="B190" t="str">
        <f ca="1">IFERROR(__xludf.DUMMYFUNCTION("""COMPUTED_VALUE"""),"Техрейс")</f>
        <v>Техрейс</v>
      </c>
      <c r="C190" t="str">
        <f ca="1">IFERROR(__xludf.DUMMYFUNCTION("""COMPUTED_VALUE"""),"Аурум Транс")</f>
        <v>Аурум Транс</v>
      </c>
      <c r="D190">
        <f ca="1">IFERROR(__xludf.DUMMYFUNCTION("""COMPUTED_VALUE"""),63704126)</f>
        <v>63704126</v>
      </c>
      <c r="E190" t="str">
        <f ca="1">IFERROR(__xludf.DUMMYFUNCTION("""COMPUTED_VALUE"""),"60 ПОЛУВАГОНЫ")</f>
        <v>60 ПОЛУВАГОНЫ</v>
      </c>
      <c r="F190">
        <f ca="1">IFERROR(__xludf.DUMMYFUNCTION("""COMPUTED_VALUE"""),42119)</f>
        <v>42119</v>
      </c>
      <c r="G190" t="str">
        <f ca="1">IFERROR(__xludf.DUMMYFUNCTION("""COMPUTED_VALUE"""),"ВАГОНЫ ЖД РЕМОН")</f>
        <v>ВАГОНЫ ЖД РЕМОН</v>
      </c>
      <c r="H190">
        <f ca="1">IFERROR(__xludf.DUMMYFUNCTION("""COMPUTED_VALUE"""),0)</f>
        <v>0</v>
      </c>
      <c r="I190">
        <f ca="1">IFERROR(__xludf.DUMMYFUNCTION("""COMPUTED_VALUE"""),2820)</f>
        <v>2820</v>
      </c>
      <c r="J190" t="str">
        <f ca="1">IFERROR(__xludf.DUMMYFUNCTION("""COMPUTED_VALUE"""),"3502 (46720-467-46710) КРИВОЙ РОГ - КРИВ.РОГ-СОР")</f>
        <v>3502 (46720-467-46710) КРИВОЙ РОГ - КРИВ.РОГ-СОР</v>
      </c>
      <c r="K190">
        <f ca="1">IFERROR(__xludf.DUMMYFUNCTION("""COMPUTED_VALUE"""),46710)</f>
        <v>46710</v>
      </c>
      <c r="L190" t="str">
        <f ca="1">IFERROR(__xludf.DUMMYFUNCTION("""COMPUTED_VALUE"""),"КРИВ.РОГ-СОР")</f>
        <v>КРИВ.РОГ-СОР</v>
      </c>
      <c r="M190" t="str">
        <f ca="1">IFERROR(__xludf.DUMMYFUNCTION("""COMPUTED_VALUE"""),"26.07.21 10-14")</f>
        <v>26.07.21 10-14</v>
      </c>
      <c r="N190" t="str">
        <f ca="1">IFERROR(__xludf.DUMMYFUNCTION("""COMPUTED_VALUE"""),"53 ВУ23")</f>
        <v>53 ВУ23</v>
      </c>
      <c r="O190">
        <f ca="1">IFERROR(__xludf.DUMMYFUNCTION("""COMPUTED_VALUE"""),46710)</f>
        <v>46710</v>
      </c>
      <c r="P190" t="str">
        <f ca="1">IFERROR(__xludf.DUMMYFUNCTION("""COMPUTED_VALUE"""),"КРИВ.РОГ-СОР")</f>
        <v>КРИВ.РОГ-СОР</v>
      </c>
      <c r="Q190">
        <f ca="1">IFERROR(__xludf.DUMMYFUNCTION("""COMPUTED_VALUE"""),46720)</f>
        <v>46720</v>
      </c>
      <c r="R190" t="str">
        <f ca="1">IFERROR(__xludf.DUMMYFUNCTION("""COMPUTED_VALUE"""),"КРИВОЙ РОГ")</f>
        <v>КРИВОЙ РОГ</v>
      </c>
      <c r="S190" t="str">
        <f ca="1">IFERROR(__xludf.DUMMYFUNCTION("""COMPUTED_VALUE"""),"23.07.21 01-10")</f>
        <v>23.07.21 01-10</v>
      </c>
      <c r="T190">
        <f ca="1">IFERROR(__xludf.DUMMYFUNCTION("""COMPUTED_VALUE"""),5343)</f>
        <v>5343</v>
      </c>
      <c r="U190" t="str">
        <f ca="1">IFERROR(__xludf.DUMMYFUNCTION("""COMPUTED_VALUE"""),"27.08.2021 ДР")</f>
        <v>27.08.2021 ДР</v>
      </c>
      <c r="Z190" t="str">
        <f ca="1">IFERROR(__xludf.DUMMYFUNCTION("""COMPUTED_VALUE"""),"ООО «АУРУМ ТРАНС»")</f>
        <v>ООО «АУРУМ ТРАНС»</v>
      </c>
      <c r="AA190" t="str">
        <f ca="1">IFERROR(__xludf.DUMMYFUNCTION("""COMPUTED_VALUE"""),"12-9933-01")</f>
        <v>12-9933-01</v>
      </c>
      <c r="AB190" t="str">
        <f ca="1">IFERROR(__xludf.DUMMYFUNCTION("""COMPUTED_VALUE"""),"45 ПРИДН")</f>
        <v>45 ПРИДН</v>
      </c>
      <c r="AC190" t="str">
        <f ca="1">IFERROR(__xludf.DUMMYFUNCTION("""COMPUTED_VALUE"""),"46710 КРИВ.РОГ-СОР")</f>
        <v>46710 КРИВ.РОГ-СОР</v>
      </c>
      <c r="AD190" t="str">
        <f ca="1">IFERROR(__xludf.DUMMYFUNCTION("""COMPUTED_VALUE"""),"26.07.21 10-14")</f>
        <v>26.07.21 10-14</v>
      </c>
      <c r="AE190" t="str">
        <f ca="1">IFERROR(__xludf.DUMMYFUNCTION("""COMPUTED_VALUE"""),"570 ИCТEК КAЛЕНДАРНЫЙ CPOК ДEПOВCКОГО PEМOНТA")</f>
        <v>570 ИCТEК КAЛЕНДАРНЫЙ CPOК ДEПOВCКОГО PEМOНТA</v>
      </c>
      <c r="AF190" t="str">
        <f ca="1">IFERROR(__xludf.DUMMYFUNCTION("""COMPUTED_VALUE"""),"32 Ю-ЗАП")</f>
        <v>32 Ю-ЗАП</v>
      </c>
      <c r="AG190" t="str">
        <f ca="1">IFERROR(__xludf.DUMMYFUNCTION("""COMPUTED_VALUE"""),"34750 ПЕНИЗЕВИЧИ")</f>
        <v>34750 ПЕНИЗЕВИЧИ</v>
      </c>
      <c r="AH190" t="str">
        <f ca="1">IFERROR(__xludf.DUMMYFUNCTION("""COMPUTED_VALUE"""),"06.10.20 15-20")</f>
        <v>06.10.20 15-20</v>
      </c>
      <c r="AI190" s="21">
        <f ca="1">IFERROR(__xludf.DUMMYFUNCTION("""COMPUTED_VALUE"""),44420.3576736111)</f>
        <v>44420.357673611099</v>
      </c>
    </row>
    <row r="191" spans="1:35" ht="13" x14ac:dyDescent="0.15">
      <c r="A191">
        <f ca="1">IFERROR(__xludf.DUMMYFUNCTION("""COMPUTED_VALUE"""),751)</f>
        <v>751</v>
      </c>
      <c r="B191" t="str">
        <f ca="1">IFERROR(__xludf.DUMMYFUNCTION("""COMPUTED_VALUE"""),"Техрейс")</f>
        <v>Техрейс</v>
      </c>
      <c r="C191" t="str">
        <f ca="1">IFERROR(__xludf.DUMMYFUNCTION("""COMPUTED_VALUE"""),"ТрансЕнерджи")</f>
        <v>ТрансЕнерджи</v>
      </c>
      <c r="D191">
        <f ca="1">IFERROR(__xludf.DUMMYFUNCTION("""COMPUTED_VALUE"""),63262612)</f>
        <v>63262612</v>
      </c>
      <c r="E191" t="str">
        <f ca="1">IFERROR(__xludf.DUMMYFUNCTION("""COMPUTED_VALUE"""),"60 ПОЛУВАГОНЫ")</f>
        <v>60 ПОЛУВАГОНЫ</v>
      </c>
      <c r="F191">
        <f ca="1">IFERROR(__xludf.DUMMYFUNCTION("""COMPUTED_VALUE"""),42103)</f>
        <v>42103</v>
      </c>
      <c r="G191" t="str">
        <f ca="1">IFERROR(__xludf.DUMMYFUNCTION("""COMPUTED_VALUE"""),"ВАГОНЫ ЖД СВ")</f>
        <v>ВАГОНЫ ЖД СВ</v>
      </c>
      <c r="H191">
        <f ca="1">IFERROR(__xludf.DUMMYFUNCTION("""COMPUTED_VALUE"""),0)</f>
        <v>0</v>
      </c>
      <c r="I191">
        <f ca="1">IFERROR(__xludf.DUMMYFUNCTION("""COMPUTED_VALUE"""),5343)</f>
        <v>5343</v>
      </c>
      <c r="J191" t="str">
        <f ca="1">IFERROR(__xludf.DUMMYFUNCTION("""COMPUTED_VALUE"""),"3501 (48280-098-48200) АВДЕЕВКА - ПОКРОВСК")</f>
        <v>3501 (48280-098-48200) АВДЕЕВКА - ПОКРОВСК</v>
      </c>
      <c r="K191">
        <f ca="1">IFERROR(__xludf.DUMMYFUNCTION("""COMPUTED_VALUE"""),48200)</f>
        <v>48200</v>
      </c>
      <c r="L191" t="str">
        <f ca="1">IFERROR(__xludf.DUMMYFUNCTION("""COMPUTED_VALUE"""),"ПОКРОВСК")</f>
        <v>ПОКРОВСК</v>
      </c>
      <c r="M191" t="str">
        <f ca="1">IFERROR(__xludf.DUMMYFUNCTION("""COMPUTED_VALUE"""),"12.08.21 05-34")</f>
        <v>12.08.21 05-34</v>
      </c>
      <c r="N191" t="str">
        <f ca="1">IFERROR(__xludf.DUMMYFUNCTION("""COMPUTED_VALUE"""),"04 РАСФ")</f>
        <v>04 РАСФ</v>
      </c>
      <c r="O191">
        <f ca="1">IFERROR(__xludf.DUMMYFUNCTION("""COMPUTED_VALUE"""),46720)</f>
        <v>46720</v>
      </c>
      <c r="P191" t="str">
        <f ca="1">IFERROR(__xludf.DUMMYFUNCTION("""COMPUTED_VALUE"""),"КРИВОЙ РОГ")</f>
        <v>КРИВОЙ РОГ</v>
      </c>
      <c r="Q191">
        <f ca="1">IFERROR(__xludf.DUMMYFUNCTION("""COMPUTED_VALUE"""),48280)</f>
        <v>48280</v>
      </c>
      <c r="R191" t="str">
        <f ca="1">IFERROR(__xludf.DUMMYFUNCTION("""COMPUTED_VALUE"""),"АВДЕЕВКА")</f>
        <v>АВДЕЕВКА</v>
      </c>
      <c r="S191" t="str">
        <f ca="1">IFERROR(__xludf.DUMMYFUNCTION("""COMPUTED_VALUE"""),"10.08.21 12-10")</f>
        <v>10.08.21 12-10</v>
      </c>
      <c r="T191">
        <f ca="1">IFERROR(__xludf.DUMMYFUNCTION("""COMPUTED_VALUE"""),7253)</f>
        <v>7253</v>
      </c>
      <c r="U191" t="str">
        <f ca="1">IFERROR(__xludf.DUMMYFUNCTION("""COMPUTED_VALUE"""),"20.12.2022 ДР")</f>
        <v>20.12.2022 ДР</v>
      </c>
      <c r="Z191" t="str">
        <f ca="1">IFERROR(__xludf.DUMMYFUNCTION("""COMPUTED_VALUE"""),"ООО «ДИЗЕЛЬНЫЙ ЗАВОД»")</f>
        <v>ООО «ДИЗЕЛЬНЫЙ ЗАВОД»</v>
      </c>
      <c r="AA191" t="str">
        <f ca="1">IFERROR(__xludf.DUMMYFUNCTION("""COMPUTED_VALUE"""),"12-9933-01")</f>
        <v>12-9933-01</v>
      </c>
      <c r="AI191" s="21">
        <f ca="1">IFERROR(__xludf.DUMMYFUNCTION("""COMPUTED_VALUE"""),44420.3576736111)</f>
        <v>44420.357673611099</v>
      </c>
    </row>
    <row r="192" spans="1:35" ht="13" x14ac:dyDescent="0.15">
      <c r="A192">
        <f ca="1">IFERROR(__xludf.DUMMYFUNCTION("""COMPUTED_VALUE"""),754)</f>
        <v>754</v>
      </c>
      <c r="B192" t="str">
        <f ca="1">IFERROR(__xludf.DUMMYFUNCTION("""COMPUTED_VALUE"""),"Техрейс")</f>
        <v>Техрейс</v>
      </c>
      <c r="C192" t="str">
        <f ca="1">IFERROR(__xludf.DUMMYFUNCTION("""COMPUTED_VALUE"""),"ТрансЕнерджи")</f>
        <v>ТрансЕнерджи</v>
      </c>
      <c r="D192">
        <f ca="1">IFERROR(__xludf.DUMMYFUNCTION("""COMPUTED_VALUE"""),63270888)</f>
        <v>63270888</v>
      </c>
      <c r="E192" t="str">
        <f ca="1">IFERROR(__xludf.DUMMYFUNCTION("""COMPUTED_VALUE"""),"60 ПОЛУВАГОНЫ")</f>
        <v>60 ПОЛУВАГОНЫ</v>
      </c>
      <c r="F192">
        <f ca="1">IFERROR(__xludf.DUMMYFUNCTION("""COMPUTED_VALUE"""),29101)</f>
        <v>29101</v>
      </c>
      <c r="G192" t="str">
        <f ca="1">IFERROR(__xludf.DUMMYFUNCTION("""COMPUTED_VALUE"""),"ДОЛОМИТ Д/СТЕК")</f>
        <v>ДОЛОМИТ Д/СТЕК</v>
      </c>
      <c r="H192">
        <f ca="1">IFERROR(__xludf.DUMMYFUNCTION("""COMPUTED_VALUE"""),70)</f>
        <v>70</v>
      </c>
      <c r="I192">
        <f ca="1">IFERROR(__xludf.DUMMYFUNCTION("""COMPUTED_VALUE"""),4261)</f>
        <v>4261</v>
      </c>
      <c r="J192" t="str">
        <f ca="1">IFERROR(__xludf.DUMMYFUNCTION("""COMPUTED_VALUE"""),"5555 (33000-437-00020) ЖМЕРИНКА -")</f>
        <v>5555 (33000-437-00020) ЖМЕРИНКА -</v>
      </c>
      <c r="K192">
        <f ca="1">IFERROR(__xludf.DUMMYFUNCTION("""COMPUTED_VALUE"""),33000)</f>
        <v>33000</v>
      </c>
      <c r="L192" t="str">
        <f ca="1">IFERROR(__xludf.DUMMYFUNCTION("""COMPUTED_VALUE"""),"ЖМЕРИНКА")</f>
        <v>ЖМЕРИНКА</v>
      </c>
      <c r="M192" t="str">
        <f ca="1">IFERROR(__xludf.DUMMYFUNCTION("""COMPUTED_VALUE"""),"12.08.21 02-13")</f>
        <v>12.08.21 02-13</v>
      </c>
      <c r="N192" t="str">
        <f ca="1">IFERROR(__xludf.DUMMYFUNCTION("""COMPUTED_VALUE"""),"04 РАСФ")</f>
        <v>04 РАСФ</v>
      </c>
      <c r="O192">
        <f ca="1">IFERROR(__xludf.DUMMYFUNCTION("""COMPUTED_VALUE"""),42420)</f>
        <v>42420</v>
      </c>
      <c r="P192" t="str">
        <f ca="1">IFERROR(__xludf.DUMMYFUNCTION("""COMPUTED_VALUE"""),"ЧЕРКАССЫ")</f>
        <v>ЧЕРКАССЫ</v>
      </c>
      <c r="Q192">
        <f ca="1">IFERROR(__xludf.DUMMYFUNCTION("""COMPUTED_VALUE"""),36440)</f>
        <v>36440</v>
      </c>
      <c r="R192" t="str">
        <f ca="1">IFERROR(__xludf.DUMMYFUNCTION("""COMPUTED_VALUE"""),"БУЧАЧ")</f>
        <v>БУЧАЧ</v>
      </c>
      <c r="S192" t="str">
        <f ca="1">IFERROR(__xludf.DUMMYFUNCTION("""COMPUTED_VALUE"""),"30.07.21 12-00")</f>
        <v>30.07.21 12-00</v>
      </c>
      <c r="T192">
        <f ca="1">IFERROR(__xludf.DUMMYFUNCTION("""COMPUTED_VALUE"""),1641)</f>
        <v>1641</v>
      </c>
      <c r="U192" t="str">
        <f ca="1">IFERROR(__xludf.DUMMYFUNCTION("""COMPUTED_VALUE"""),"20.12.2022 ДР")</f>
        <v>20.12.2022 ДР</v>
      </c>
      <c r="Z192" t="str">
        <f ca="1">IFERROR(__xludf.DUMMYFUNCTION("""COMPUTED_VALUE"""),"ООО «ДИЗЕЛЬНЫЙ ЗАВОД»")</f>
        <v>ООО «ДИЗЕЛЬНЫЙ ЗАВОД»</v>
      </c>
      <c r="AA192" t="str">
        <f ca="1">IFERROR(__xludf.DUMMYFUNCTION("""COMPUTED_VALUE"""),"12-9933-01")</f>
        <v>12-9933-01</v>
      </c>
      <c r="AB192" t="str">
        <f ca="1">IFERROR(__xludf.DUMMYFUNCTION("""COMPUTED_VALUE"""),"45 ПРИДН")</f>
        <v>45 ПРИДН</v>
      </c>
      <c r="AC192" t="str">
        <f ca="1">IFERROR(__xludf.DUMMYFUNCTION("""COMPUTED_VALUE"""),"47660 ДНЕПРОРУДНАЯ")</f>
        <v>47660 ДНЕПРОРУДНАЯ</v>
      </c>
      <c r="AD192" t="str">
        <f ca="1">IFERROR(__xludf.DUMMYFUNCTION("""COMPUTED_VALUE"""),"27.03.21 16-50")</f>
        <v>27.03.21 16-50</v>
      </c>
      <c r="AE192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192" t="str">
        <f ca="1">IFERROR(__xludf.DUMMYFUNCTION("""COMPUTED_VALUE"""),"45 ПРИДН")</f>
        <v>45 ПРИДН</v>
      </c>
      <c r="AG192" t="str">
        <f ca="1">IFERROR(__xludf.DUMMYFUNCTION("""COMPUTED_VALUE"""),"47660 ДНЕПРОРУДНАЯ")</f>
        <v>47660 ДНЕПРОРУДНАЯ</v>
      </c>
      <c r="AH192" t="str">
        <f ca="1">IFERROR(__xludf.DUMMYFUNCTION("""COMPUTED_VALUE"""),"28.03.21 05-00")</f>
        <v>28.03.21 05-00</v>
      </c>
      <c r="AI192" s="21">
        <f ca="1">IFERROR(__xludf.DUMMYFUNCTION("""COMPUTED_VALUE"""),44420.3576736111)</f>
        <v>44420.357673611099</v>
      </c>
    </row>
    <row r="193" spans="1:35" ht="13" x14ac:dyDescent="0.15">
      <c r="A193">
        <f ca="1">IFERROR(__xludf.DUMMYFUNCTION("""COMPUTED_VALUE"""),759)</f>
        <v>759</v>
      </c>
      <c r="B193" t="str">
        <f ca="1">IFERROR(__xludf.DUMMYFUNCTION("""COMPUTED_VALUE"""),"Лидер")</f>
        <v>Лидер</v>
      </c>
      <c r="C193" t="str">
        <f ca="1">IFERROR(__xludf.DUMMYFUNCTION("""COMPUTED_VALUE"""),"ТрансЕнерджи")</f>
        <v>ТрансЕнерджи</v>
      </c>
      <c r="D193">
        <f ca="1">IFERROR(__xludf.DUMMYFUNCTION("""COMPUTED_VALUE"""),63279814)</f>
        <v>63279814</v>
      </c>
      <c r="E193" t="str">
        <f ca="1">IFERROR(__xludf.DUMMYFUNCTION("""COMPUTED_VALUE"""),"60 ПОЛУВАГОНЫ")</f>
        <v>60 ПОЛУВАГОНЫ</v>
      </c>
      <c r="F193">
        <f ca="1">IFERROR(__xludf.DUMMYFUNCTION("""COMPUTED_VALUE"""),23239)</f>
        <v>23239</v>
      </c>
      <c r="G193" t="str">
        <f ca="1">IFERROR(__xludf.DUMMYFUNCTION("""COMPUTED_VALUE"""),"ЩЕБЕНЬ ГРАНИТ")</f>
        <v>ЩЕБЕНЬ ГРАНИТ</v>
      </c>
      <c r="H193">
        <f ca="1">IFERROR(__xludf.DUMMYFUNCTION("""COMPUTED_VALUE"""),70)</f>
        <v>70</v>
      </c>
      <c r="I193">
        <f ca="1">IFERROR(__xludf.DUMMYFUNCTION("""COMPUTED_VALUE"""),5133)</f>
        <v>5133</v>
      </c>
      <c r="J193" t="str">
        <f ca="1">IFERROR(__xludf.DUMMYFUNCTION("""COMPUTED_VALUE"""),"3893 (36000-061-36240) ТЕРНОПОЛЬ - КОЗОВА")</f>
        <v>3893 (36000-061-36240) ТЕРНОПОЛЬ - КОЗОВА</v>
      </c>
      <c r="K193">
        <f ca="1">IFERROR(__xludf.DUMMYFUNCTION("""COMPUTED_VALUE"""),36240)</f>
        <v>36240</v>
      </c>
      <c r="L193" t="str">
        <f ca="1">IFERROR(__xludf.DUMMYFUNCTION("""COMPUTED_VALUE"""),"КОЗОВА")</f>
        <v>КОЗОВА</v>
      </c>
      <c r="M193" t="str">
        <f ca="1">IFERROR(__xludf.DUMMYFUNCTION("""COMPUTED_VALUE"""),"11.08.21 21-00")</f>
        <v>11.08.21 21-00</v>
      </c>
      <c r="N193" t="str">
        <f ca="1">IFERROR(__xludf.DUMMYFUNCTION("""COMPUTED_VALUE"""),"04 РАСФ")</f>
        <v>04 РАСФ</v>
      </c>
      <c r="O193">
        <f ca="1">IFERROR(__xludf.DUMMYFUNCTION("""COMPUTED_VALUE"""),36240)</f>
        <v>36240</v>
      </c>
      <c r="P193" t="str">
        <f ca="1">IFERROR(__xludf.DUMMYFUNCTION("""COMPUTED_VALUE"""),"КОЗОВА")</f>
        <v>КОЗОВА</v>
      </c>
      <c r="Q193">
        <f ca="1">IFERROR(__xludf.DUMMYFUNCTION("""COMPUTED_VALUE"""),34850)</f>
        <v>34850</v>
      </c>
      <c r="R193" t="str">
        <f ca="1">IFERROR(__xludf.DUMMYFUNCTION("""COMPUTED_VALUE"""),"УШИЦА")</f>
        <v>УШИЦА</v>
      </c>
      <c r="S193" t="str">
        <f ca="1">IFERROR(__xludf.DUMMYFUNCTION("""COMPUTED_VALUE"""),"08.08.21 14-40")</f>
        <v>08.08.21 14-40</v>
      </c>
      <c r="T193">
        <f ca="1">IFERROR(__xludf.DUMMYFUNCTION("""COMPUTED_VALUE"""),7052)</f>
        <v>7052</v>
      </c>
      <c r="U193" t="str">
        <f ca="1">IFERROR(__xludf.DUMMYFUNCTION("""COMPUTED_VALUE"""),"20.12.2022 ДР")</f>
        <v>20.12.2022 ДР</v>
      </c>
      <c r="Z193" t="str">
        <f ca="1">IFERROR(__xludf.DUMMYFUNCTION("""COMPUTED_VALUE"""),"ООО «ДИЗЕЛЬНЫЙ ЗАВОД»")</f>
        <v>ООО «ДИЗЕЛЬНЫЙ ЗАВОД»</v>
      </c>
      <c r="AA193" t="str">
        <f ca="1">IFERROR(__xludf.DUMMYFUNCTION("""COMPUTED_VALUE"""),"12-9933-01")</f>
        <v>12-9933-01</v>
      </c>
      <c r="AB193" t="str">
        <f ca="1">IFERROR(__xludf.DUMMYFUNCTION("""COMPUTED_VALUE"""),"43 ЮЖН")</f>
        <v>43 ЮЖН</v>
      </c>
      <c r="AC193" t="str">
        <f ca="1">IFERROR(__xludf.DUMMYFUNCTION("""COMPUTED_VALUE"""),"42560 ЗОЛОТНИШИНО")</f>
        <v>42560 ЗОЛОТНИШИНО</v>
      </c>
      <c r="AD193" t="str">
        <f ca="1">IFERROR(__xludf.DUMMYFUNCTION("""COMPUTED_VALUE"""),"14.11.20 22-50")</f>
        <v>14.11.20 22-50</v>
      </c>
      <c r="AE193" t="str">
        <f ca="1">IFERROR(__xludf.DUMMYFUNCTION("""COMPUTED_VALUE"""),"540 НEИCПPAВНOCТЬ ЗAПOPA ЛЮКA")</f>
        <v>540 НEИCПPAВНOCТЬ ЗAПOPA ЛЮКA</v>
      </c>
      <c r="AF193" t="str">
        <f ca="1">IFERROR(__xludf.DUMMYFUNCTION("""COMPUTED_VALUE"""),"43 ЮЖН")</f>
        <v>43 ЮЖН</v>
      </c>
      <c r="AG193" t="str">
        <f ca="1">IFERROR(__xludf.DUMMYFUNCTION("""COMPUTED_VALUE"""),"42560 ЗОЛОТНИШИНО")</f>
        <v>42560 ЗОЛОТНИШИНО</v>
      </c>
      <c r="AH193" t="str">
        <f ca="1">IFERROR(__xludf.DUMMYFUNCTION("""COMPUTED_VALUE"""),"16.11.20 13-45")</f>
        <v>16.11.20 13-45</v>
      </c>
      <c r="AI193" s="21">
        <f ca="1">IFERROR(__xludf.DUMMYFUNCTION("""COMPUTED_VALUE"""),44420.3576736111)</f>
        <v>44420.357673611099</v>
      </c>
    </row>
    <row r="194" spans="1:35" ht="13" x14ac:dyDescent="0.15">
      <c r="A194">
        <f ca="1">IFERROR(__xludf.DUMMYFUNCTION("""COMPUTED_VALUE"""),760)</f>
        <v>760</v>
      </c>
      <c r="B194" t="str">
        <f ca="1">IFERROR(__xludf.DUMMYFUNCTION("""COMPUTED_VALUE"""),"Ламан-Шипинг скраренда")</f>
        <v>Ламан-Шипинг скраренда</v>
      </c>
      <c r="C194" t="str">
        <f ca="1">IFERROR(__xludf.DUMMYFUNCTION("""COMPUTED_VALUE"""),"ТрансЕнерджи")</f>
        <v>ТрансЕнерджи</v>
      </c>
      <c r="D194">
        <f ca="1">IFERROR(__xludf.DUMMYFUNCTION("""COMPUTED_VALUE"""),63280275)</f>
        <v>63280275</v>
      </c>
      <c r="E194" t="str">
        <f ca="1">IFERROR(__xludf.DUMMYFUNCTION("""COMPUTED_VALUE"""),"60 ПОЛУВАГОНЫ")</f>
        <v>60 ПОЛУВАГОНЫ</v>
      </c>
      <c r="F194">
        <f ca="1">IFERROR(__xludf.DUMMYFUNCTION("""COMPUTED_VALUE"""),42103)</f>
        <v>42103</v>
      </c>
      <c r="G194" t="str">
        <f ca="1">IFERROR(__xludf.DUMMYFUNCTION("""COMPUTED_VALUE"""),"ВАГОНЫ ЖД СВ")</f>
        <v>ВАГОНЫ ЖД СВ</v>
      </c>
      <c r="H194">
        <f ca="1">IFERROR(__xludf.DUMMYFUNCTION("""COMPUTED_VALUE"""),0)</f>
        <v>0</v>
      </c>
      <c r="I194">
        <f ca="1">IFERROR(__xludf.DUMMYFUNCTION("""COMPUTED_VALUE"""),4279)</f>
        <v>4279</v>
      </c>
      <c r="J194" t="str">
        <f ca="1">IFERROR(__xludf.DUMMYFUNCTION("""COMPUTED_VALUE"""),"3602 (32010-565-32000) КИЕВ-ДЕМЕЕВС - ДАРНИЦА")</f>
        <v>3602 (32010-565-32000) КИЕВ-ДЕМЕЕВС - ДАРНИЦА</v>
      </c>
      <c r="K194">
        <f ca="1">IFERROR(__xludf.DUMMYFUNCTION("""COMPUTED_VALUE"""),32010)</f>
        <v>32010</v>
      </c>
      <c r="L194" t="str">
        <f ca="1">IFERROR(__xludf.DUMMYFUNCTION("""COMPUTED_VALUE"""),"КИЕВ-ДЕМЕЕВС")</f>
        <v>КИЕВ-ДЕМЕЕВС</v>
      </c>
      <c r="M194" t="str">
        <f ca="1">IFERROR(__xludf.DUMMYFUNCTION("""COMPUTED_VALUE"""),"11.08.21 18-20")</f>
        <v>11.08.21 18-20</v>
      </c>
      <c r="N194" t="str">
        <f ca="1">IFERROR(__xludf.DUMMYFUNCTION("""COMPUTED_VALUE"""),"05 ФОРМ")</f>
        <v>05 ФОРМ</v>
      </c>
      <c r="O194">
        <f ca="1">IFERROR(__xludf.DUMMYFUNCTION("""COMPUTED_VALUE"""),34170)</f>
        <v>34170</v>
      </c>
      <c r="P194" t="str">
        <f ca="1">IFERROR(__xludf.DUMMYFUNCTION("""COMPUTED_VALUE"""),"ПОЛОННОЕ")</f>
        <v>ПОЛОННОЕ</v>
      </c>
      <c r="Q194">
        <f ca="1">IFERROR(__xludf.DUMMYFUNCTION("""COMPUTED_VALUE"""),32010)</f>
        <v>32010</v>
      </c>
      <c r="R194" t="str">
        <f ca="1">IFERROR(__xludf.DUMMYFUNCTION("""COMPUTED_VALUE"""),"КИЕВ-ДЕМЕЕВС")</f>
        <v>КИЕВ-ДЕМЕЕВС</v>
      </c>
      <c r="S194" t="str">
        <f ca="1">IFERROR(__xludf.DUMMYFUNCTION("""COMPUTED_VALUE"""),"10.08.21 10-20")</f>
        <v>10.08.21 10-20</v>
      </c>
      <c r="T194">
        <f ca="1">IFERROR(__xludf.DUMMYFUNCTION("""COMPUTED_VALUE"""),5625)</f>
        <v>5625</v>
      </c>
      <c r="U194" t="str">
        <f ca="1">IFERROR(__xludf.DUMMYFUNCTION("""COMPUTED_VALUE"""),"20.12.2022 ДР")</f>
        <v>20.12.2022 ДР</v>
      </c>
      <c r="Z194" t="str">
        <f ca="1">IFERROR(__xludf.DUMMYFUNCTION("""COMPUTED_VALUE"""),"ООО «ДИЗЕЛЬНЫЙ ЗАВОД»")</f>
        <v>ООО «ДИЗЕЛЬНЫЙ ЗАВОД»</v>
      </c>
      <c r="AA194" t="str">
        <f ca="1">IFERROR(__xludf.DUMMYFUNCTION("""COMPUTED_VALUE"""),"12-9933-01")</f>
        <v>12-9933-01</v>
      </c>
      <c r="AB194" t="str">
        <f ca="1">IFERROR(__xludf.DUMMYFUNCTION("""COMPUTED_VALUE"""),"43 ЮЖН")</f>
        <v>43 ЮЖН</v>
      </c>
      <c r="AC194" t="str">
        <f ca="1">IFERROR(__xludf.DUMMYFUNCTION("""COMPUTED_VALUE"""),"42560 ЗОЛОТНИШИНО")</f>
        <v>42560 ЗОЛОТНИШИНО</v>
      </c>
      <c r="AD194" t="str">
        <f ca="1">IFERROR(__xludf.DUMMYFUNCTION("""COMPUTED_VALUE"""),"25.02.21 14-03")</f>
        <v>25.02.21 14-03</v>
      </c>
      <c r="AE194" t="str">
        <f ca="1">IFERROR(__xludf.DUMMYFUNCTION("""COMPUTED_VALUE"""),"540 НEИCПPAВНOCТЬ ЗAПOPA ЛЮКA")</f>
        <v>540 НEИCПPAВНOCТЬ ЗAПOPA ЛЮКA</v>
      </c>
      <c r="AF194" t="str">
        <f ca="1">IFERROR(__xludf.DUMMYFUNCTION("""COMPUTED_VALUE"""),"43 ЮЖН")</f>
        <v>43 ЮЖН</v>
      </c>
      <c r="AG194" t="str">
        <f ca="1">IFERROR(__xludf.DUMMYFUNCTION("""COMPUTED_VALUE"""),"42560 ЗОЛОТНИШИНО")</f>
        <v>42560 ЗОЛОТНИШИНО</v>
      </c>
      <c r="AH194" t="str">
        <f ca="1">IFERROR(__xludf.DUMMYFUNCTION("""COMPUTED_VALUE"""),"25.02.21 15-16")</f>
        <v>25.02.21 15-16</v>
      </c>
      <c r="AI194" s="21">
        <f ca="1">IFERROR(__xludf.DUMMYFUNCTION("""COMPUTED_VALUE"""),44420.3576736111)</f>
        <v>44420.357673611099</v>
      </c>
    </row>
    <row r="195" spans="1:35" ht="13" x14ac:dyDescent="0.15">
      <c r="A195">
        <f ca="1">IFERROR(__xludf.DUMMYFUNCTION("""COMPUTED_VALUE"""),762)</f>
        <v>762</v>
      </c>
      <c r="B195" t="str">
        <f ca="1">IFERROR(__xludf.DUMMYFUNCTION("""COMPUTED_VALUE"""),"Ламан-Шипинг")</f>
        <v>Ламан-Шипинг</v>
      </c>
      <c r="C195" t="str">
        <f ca="1">IFERROR(__xludf.DUMMYFUNCTION("""COMPUTED_VALUE"""),"ТрансЕнерджи")</f>
        <v>ТрансЕнерджи</v>
      </c>
      <c r="D195">
        <f ca="1">IFERROR(__xludf.DUMMYFUNCTION("""COMPUTED_VALUE"""),63281216)</f>
        <v>63281216</v>
      </c>
      <c r="E195" t="str">
        <f ca="1">IFERROR(__xludf.DUMMYFUNCTION("""COMPUTED_VALUE"""),"60 ПОЛУВАГОНЫ")</f>
        <v>60 ПОЛУВАГОНЫ</v>
      </c>
      <c r="F195">
        <f ca="1">IFERROR(__xludf.DUMMYFUNCTION("""COMPUTED_VALUE"""),23107)</f>
        <v>23107</v>
      </c>
      <c r="G195" t="str">
        <f ca="1">IFERROR(__xludf.DUMMYFUNCTION("""COMPUTED_VALUE"""),"ПЕСОК СТРОИТ")</f>
        <v>ПЕСОК СТРОИТ</v>
      </c>
      <c r="H195">
        <f ca="1">IFERROR(__xludf.DUMMYFUNCTION("""COMPUTED_VALUE"""),70)</f>
        <v>70</v>
      </c>
      <c r="I195">
        <f ca="1">IFERROR(__xludf.DUMMYFUNCTION("""COMPUTED_VALUE"""),1213)</f>
        <v>1213</v>
      </c>
      <c r="J195" t="str">
        <f ca="1">IFERROR(__xludf.DUMMYFUNCTION("""COMPUTED_VALUE"""),"9512 (34750-007-32000) ПЕНИЗЕВИЧИ - ДАРНИЦА")</f>
        <v>9512 (34750-007-32000) ПЕНИЗЕВИЧИ - ДАРНИЦА</v>
      </c>
      <c r="K195">
        <f ca="1">IFERROR(__xludf.DUMMYFUNCTION("""COMPUTED_VALUE"""),32010)</f>
        <v>32010</v>
      </c>
      <c r="L195" t="str">
        <f ca="1">IFERROR(__xludf.DUMMYFUNCTION("""COMPUTED_VALUE"""),"КИЕВ-ДЕМЕЕВС")</f>
        <v>КИЕВ-ДЕМЕЕВС</v>
      </c>
      <c r="M195" t="str">
        <f ca="1">IFERROR(__xludf.DUMMYFUNCTION("""COMPUTED_VALUE"""),"11.08.21 16-54")</f>
        <v>11.08.21 16-54</v>
      </c>
      <c r="N195" t="str">
        <f ca="1">IFERROR(__xludf.DUMMYFUNCTION("""COMPUTED_VALUE"""),"01 ПРИБ")</f>
        <v>01 ПРИБ</v>
      </c>
      <c r="O195">
        <f ca="1">IFERROR(__xludf.DUMMYFUNCTION("""COMPUTED_VALUE"""),32330)</f>
        <v>32330</v>
      </c>
      <c r="P195" t="str">
        <f ca="1">IFERROR(__xludf.DUMMYFUNCTION("""COMPUTED_VALUE"""),"БРОВАРЫ")</f>
        <v>БРОВАРЫ</v>
      </c>
      <c r="Q195">
        <f ca="1">IFERROR(__xludf.DUMMYFUNCTION("""COMPUTED_VALUE"""),34750)</f>
        <v>34750</v>
      </c>
      <c r="R195" t="str">
        <f ca="1">IFERROR(__xludf.DUMMYFUNCTION("""COMPUTED_VALUE"""),"ПЕНИЗЕВИЧИ")</f>
        <v>ПЕНИЗЕВИЧИ</v>
      </c>
      <c r="S195" t="str">
        <f ca="1">IFERROR(__xludf.DUMMYFUNCTION("""COMPUTED_VALUE"""),"11.08.21 12-00")</f>
        <v>11.08.21 12-00</v>
      </c>
      <c r="T195">
        <f ca="1">IFERROR(__xludf.DUMMYFUNCTION("""COMPUTED_VALUE"""),3437)</f>
        <v>3437</v>
      </c>
      <c r="U195" t="str">
        <f ca="1">IFERROR(__xludf.DUMMYFUNCTION("""COMPUTED_VALUE"""),"20.12.2022 ДР")</f>
        <v>20.12.2022 ДР</v>
      </c>
      <c r="Z195" t="str">
        <f ca="1">IFERROR(__xludf.DUMMYFUNCTION("""COMPUTED_VALUE"""),"ООО «ДИЗЕЛЬНЫЙ ЗАВОД»")</f>
        <v>ООО «ДИЗЕЛЬНЫЙ ЗАВОД»</v>
      </c>
      <c r="AA195" t="str">
        <f ca="1">IFERROR(__xludf.DUMMYFUNCTION("""COMPUTED_VALUE"""),"12-9933-01")</f>
        <v>12-9933-01</v>
      </c>
      <c r="AB195" t="str">
        <f ca="1">IFERROR(__xludf.DUMMYFUNCTION("""COMPUTED_VALUE"""),"48 ДОН")</f>
        <v>48 ДОН</v>
      </c>
      <c r="AC195" t="str">
        <f ca="1">IFERROR(__xludf.DUMMYFUNCTION("""COMPUTED_VALUE"""),"49600 ПОПАСНАЯ")</f>
        <v>49600 ПОПАСНАЯ</v>
      </c>
      <c r="AD195" t="str">
        <f ca="1">IFERROR(__xludf.DUMMYFUNCTION("""COMPUTED_VALUE"""),"05.12.20 14-05")</f>
        <v>05.12.20 14-05</v>
      </c>
      <c r="AE195" t="str">
        <f ca="1">IFERROR(__xludf.DUMMYFUNCTION("""COMPUTED_VALUE"""),"153 ИЗЛOМ/ИЗГИБ КPЫШКИ БУКCЫ")</f>
        <v>153 ИЗЛOМ/ИЗГИБ КPЫШКИ БУКCЫ</v>
      </c>
      <c r="AF195" t="str">
        <f ca="1">IFERROR(__xludf.DUMMYFUNCTION("""COMPUTED_VALUE"""),"48 ДОН")</f>
        <v>48 ДОН</v>
      </c>
      <c r="AG195" t="str">
        <f ca="1">IFERROR(__xludf.DUMMYFUNCTION("""COMPUTED_VALUE"""),"49600 ПОПАСНАЯ")</f>
        <v>49600 ПОПАСНАЯ</v>
      </c>
      <c r="AH195" t="str">
        <f ca="1">IFERROR(__xludf.DUMMYFUNCTION("""COMPUTED_VALUE"""),"06.12.20 11-50")</f>
        <v>06.12.20 11-50</v>
      </c>
      <c r="AI195" s="21">
        <f ca="1">IFERROR(__xludf.DUMMYFUNCTION("""COMPUTED_VALUE"""),44420.3576736111)</f>
        <v>44420.357673611099</v>
      </c>
    </row>
    <row r="196" spans="1:35" ht="13" x14ac:dyDescent="0.15">
      <c r="A196">
        <f ca="1">IFERROR(__xludf.DUMMYFUNCTION("""COMPUTED_VALUE"""),778)</f>
        <v>778</v>
      </c>
      <c r="B196" t="str">
        <f ca="1">IFERROR(__xludf.DUMMYFUNCTION("""COMPUTED_VALUE"""),"Агрохимресурс")</f>
        <v>Агрохимресурс</v>
      </c>
      <c r="C196" t="str">
        <f ca="1">IFERROR(__xludf.DUMMYFUNCTION("""COMPUTED_VALUE"""),"ФМС груп")</f>
        <v>ФМС груп</v>
      </c>
      <c r="D196">
        <f ca="1">IFERROR(__xludf.DUMMYFUNCTION("""COMPUTED_VALUE"""),64226681)</f>
        <v>64226681</v>
      </c>
      <c r="E196" t="str">
        <f ca="1">IFERROR(__xludf.DUMMYFUNCTION("""COMPUTED_VALUE"""),"60 ПОЛУВАГОНЫ")</f>
        <v>60 ПОЛУВАГОНЫ</v>
      </c>
      <c r="F196">
        <f ca="1">IFERROR(__xludf.DUMMYFUNCTION("""COMPUTED_VALUE"""),43304)</f>
        <v>43304</v>
      </c>
      <c r="G196" t="str">
        <f ca="1">IFERROR(__xludf.DUMMYFUNCTION("""COMPUTED_VALUE"""),"КАРБАМИД")</f>
        <v>КАРБАМИД</v>
      </c>
      <c r="H196">
        <f ca="1">IFERROR(__xludf.DUMMYFUNCTION("""COMPUTED_VALUE"""),63)</f>
        <v>63</v>
      </c>
      <c r="I196">
        <f ca="1">IFERROR(__xludf.DUMMYFUNCTION("""COMPUTED_VALUE"""),2920)</f>
        <v>2920</v>
      </c>
      <c r="J196" t="str">
        <f ca="1">IFERROR(__xludf.DUMMYFUNCTION("""COMPUTED_VALUE"""),"3121 (32500-002-32000) ЧЕРНИГОВ - ДАРНИЦА")</f>
        <v>3121 (32500-002-32000) ЧЕРНИГОВ - ДАРНИЦА</v>
      </c>
      <c r="K196">
        <f ca="1">IFERROR(__xludf.DUMMYFUNCTION("""COMPUTED_VALUE"""),32000)</f>
        <v>32000</v>
      </c>
      <c r="L196" t="str">
        <f ca="1">IFERROR(__xludf.DUMMYFUNCTION("""COMPUTED_VALUE"""),"ДАРНИЦА")</f>
        <v>ДАРНИЦА</v>
      </c>
      <c r="M196" t="str">
        <f ca="1">IFERROR(__xludf.DUMMYFUNCTION("""COMPUTED_VALUE"""),"12.08.21 07-40")</f>
        <v>12.08.21 07-40</v>
      </c>
      <c r="N196" t="str">
        <f ca="1">IFERROR(__xludf.DUMMYFUNCTION("""COMPUTED_VALUE"""),"51 ПРИБ")</f>
        <v>51 ПРИБ</v>
      </c>
      <c r="O196">
        <f ca="1">IFERROR(__xludf.DUMMYFUNCTION("""COMPUTED_VALUE"""),40770)</f>
        <v>40770</v>
      </c>
      <c r="P196" t="str">
        <f ca="1">IFERROR(__xludf.DUMMYFUNCTION("""COMPUTED_VALUE"""),"КНЯЖЕВО")</f>
        <v>КНЯЖЕВО</v>
      </c>
      <c r="Q196">
        <f ca="1">IFERROR(__xludf.DUMMYFUNCTION("""COMPUTED_VALUE"""),32430)</f>
        <v>32430</v>
      </c>
      <c r="R196" t="str">
        <f ca="1">IFERROR(__xludf.DUMMYFUNCTION("""COMPUTED_VALUE"""),"ГОЛУБИЧИ")</f>
        <v>ГОЛУБИЧИ</v>
      </c>
      <c r="S196" t="str">
        <f ca="1">IFERROR(__xludf.DUMMYFUNCTION("""COMPUTED_VALUE"""),"11.08.21 18-00")</f>
        <v>11.08.21 18-00</v>
      </c>
      <c r="T196">
        <f ca="1">IFERROR(__xludf.DUMMYFUNCTION("""COMPUTED_VALUE"""),4165)</f>
        <v>4165</v>
      </c>
      <c r="U196" t="str">
        <f ca="1">IFERROR(__xludf.DUMMYFUNCTION("""COMPUTED_VALUE"""),"04.12.2022 ДР")</f>
        <v>04.12.2022 ДР</v>
      </c>
      <c r="Z196" t="str">
        <f ca="1">IFERROR(__xludf.DUMMYFUNCTION("""COMPUTED_VALUE"""),"ООО ""Ф.М.С. групп""")</f>
        <v>ООО "Ф.М.С. групп"</v>
      </c>
      <c r="AA196" t="str">
        <f ca="1">IFERROR(__xludf.DUMMYFUNCTION("""COMPUTED_VALUE"""),"12-783")</f>
        <v>12-783</v>
      </c>
      <c r="AB196" t="str">
        <f ca="1">IFERROR(__xludf.DUMMYFUNCTION("""COMPUTED_VALUE"""),"45 ПРИДН")</f>
        <v>45 ПРИДН</v>
      </c>
      <c r="AC196" t="str">
        <f ca="1">IFERROR(__xludf.DUMMYFUNCTION("""COMPUTED_VALUE"""),"47660 ДНЕПРОРУДНАЯ")</f>
        <v>47660 ДНЕПРОРУДНАЯ</v>
      </c>
      <c r="AD196" t="str">
        <f ca="1">IFERROR(__xludf.DUMMYFUNCTION("""COMPUTED_VALUE"""),"08.01.21 16-12")</f>
        <v>08.01.21 16-12</v>
      </c>
      <c r="AE196" t="str">
        <f ca="1">IFERROR(__xludf.DUMMYFUNCTION("""COMPUTED_VALUE"""),"540 НEИCПPAВНOCТЬ ЗAПOPA ЛЮКA")</f>
        <v>540 НEИCПPAВНOCТЬ ЗAПOPA ЛЮКA</v>
      </c>
      <c r="AF196" t="str">
        <f ca="1">IFERROR(__xludf.DUMMYFUNCTION("""COMPUTED_VALUE"""),"45 ПРИДН")</f>
        <v>45 ПРИДН</v>
      </c>
      <c r="AG196" t="str">
        <f ca="1">IFERROR(__xludf.DUMMYFUNCTION("""COMPUTED_VALUE"""),"47660 ДНЕПРОРУДНАЯ")</f>
        <v>47660 ДНЕПРОРУДНАЯ</v>
      </c>
      <c r="AH196" t="str">
        <f ca="1">IFERROR(__xludf.DUMMYFUNCTION("""COMPUTED_VALUE"""),"12.01.21 17-00")</f>
        <v>12.01.21 17-00</v>
      </c>
      <c r="AI196" s="21">
        <f ca="1">IFERROR(__xludf.DUMMYFUNCTION("""COMPUTED_VALUE"""),44420.3576736111)</f>
        <v>44420.357673611099</v>
      </c>
    </row>
    <row r="197" spans="1:35" ht="13" x14ac:dyDescent="0.15">
      <c r="A197">
        <f ca="1">IFERROR(__xludf.DUMMYFUNCTION("""COMPUTED_VALUE"""),779)</f>
        <v>779</v>
      </c>
      <c r="B197" t="str">
        <f ca="1">IFERROR(__xludf.DUMMYFUNCTION("""COMPUTED_VALUE"""),"Техрейс")</f>
        <v>Техрейс</v>
      </c>
      <c r="C197" t="str">
        <f ca="1">IFERROR(__xludf.DUMMYFUNCTION("""COMPUTED_VALUE"""),"ФМС груп")</f>
        <v>ФМС груп</v>
      </c>
      <c r="D197">
        <f ca="1">IFERROR(__xludf.DUMMYFUNCTION("""COMPUTED_VALUE"""),64226673)</f>
        <v>64226673</v>
      </c>
      <c r="E197" t="str">
        <f ca="1">IFERROR(__xludf.DUMMYFUNCTION("""COMPUTED_VALUE"""),"60 ПОЛУВАГОНЫ")</f>
        <v>60 ПОЛУВАГОНЫ</v>
      </c>
      <c r="F197">
        <f ca="1">IFERROR(__xludf.DUMMYFUNCTION("""COMPUTED_VALUE"""),23107)</f>
        <v>23107</v>
      </c>
      <c r="G197" t="str">
        <f ca="1">IFERROR(__xludf.DUMMYFUNCTION("""COMPUTED_VALUE"""),"ПЕСОК СТРОИТ")</f>
        <v>ПЕСОК СТРОИТ</v>
      </c>
      <c r="H197">
        <f ca="1">IFERROR(__xludf.DUMMYFUNCTION("""COMPUTED_VALUE"""),70)</f>
        <v>70</v>
      </c>
      <c r="I197">
        <f ca="1">IFERROR(__xludf.DUMMYFUNCTION("""COMPUTED_VALUE"""),960)</f>
        <v>960</v>
      </c>
      <c r="J197" t="str">
        <f ca="1">IFERROR(__xludf.DUMMYFUNCTION("""COMPUTED_VALUE"""),"3603 (41310-269-41300) АЛЕКСАНДР - ВОЗНЕСЕНСК")</f>
        <v>3603 (41310-269-41300) АЛЕКСАНДР - ВОЗНЕСЕНСК</v>
      </c>
      <c r="K197">
        <f ca="1">IFERROR(__xludf.DUMMYFUNCTION("""COMPUTED_VALUE"""),41300)</f>
        <v>41300</v>
      </c>
      <c r="L197" t="str">
        <f ca="1">IFERROR(__xludf.DUMMYFUNCTION("""COMPUTED_VALUE"""),"ВОЗНЕСЕНСК")</f>
        <v>ВОЗНЕСЕНСК</v>
      </c>
      <c r="M197" t="str">
        <f ca="1">IFERROR(__xludf.DUMMYFUNCTION("""COMPUTED_VALUE"""),"12.08.21 05-31")</f>
        <v>12.08.21 05-31</v>
      </c>
      <c r="N197" t="str">
        <f ca="1">IFERROR(__xludf.DUMMYFUNCTION("""COMPUTED_VALUE"""),"04 РАСФ")</f>
        <v>04 РАСФ</v>
      </c>
      <c r="O197">
        <f ca="1">IFERROR(__xludf.DUMMYFUNCTION("""COMPUTED_VALUE"""),40000)</f>
        <v>40000</v>
      </c>
      <c r="P197" t="str">
        <f ca="1">IFERROR(__xludf.DUMMYFUNCTION("""COMPUTED_VALUE"""),"ОДЕССА-СОРТ")</f>
        <v>ОДЕССА-СОРТ</v>
      </c>
      <c r="Q197">
        <f ca="1">IFERROR(__xludf.DUMMYFUNCTION("""COMPUTED_VALUE"""),41310)</f>
        <v>41310</v>
      </c>
      <c r="R197" t="str">
        <f ca="1">IFERROR(__xludf.DUMMYFUNCTION("""COMPUTED_VALUE"""),"АЛЕКСАНДР")</f>
        <v>АЛЕКСАНДР</v>
      </c>
      <c r="S197" t="str">
        <f ca="1">IFERROR(__xludf.DUMMYFUNCTION("""COMPUTED_VALUE"""),"12.08.21 00-50")</f>
        <v>12.08.21 00-50</v>
      </c>
      <c r="T197">
        <f ca="1">IFERROR(__xludf.DUMMYFUNCTION("""COMPUTED_VALUE"""),4257)</f>
        <v>4257</v>
      </c>
      <c r="U197" t="str">
        <f ca="1">IFERROR(__xludf.DUMMYFUNCTION("""COMPUTED_VALUE"""),"04.12.2022 ДР")</f>
        <v>04.12.2022 ДР</v>
      </c>
      <c r="Z197" t="str">
        <f ca="1">IFERROR(__xludf.DUMMYFUNCTION("""COMPUTED_VALUE"""),"ООО ""Ф.М.С. групп""")</f>
        <v>ООО "Ф.М.С. групп"</v>
      </c>
      <c r="AA197" t="str">
        <f ca="1">IFERROR(__xludf.DUMMYFUNCTION("""COMPUTED_VALUE"""),"12-783")</f>
        <v>12-783</v>
      </c>
      <c r="AB197" t="str">
        <f ca="1">IFERROR(__xludf.DUMMYFUNCTION("""COMPUTED_VALUE"""),"40 ОД")</f>
        <v>40 ОД</v>
      </c>
      <c r="AC197" t="str">
        <f ca="1">IFERROR(__xludf.DUMMYFUNCTION("""COMPUTED_VALUE"""),"40510 ОДЕССА-ЗАС I")</f>
        <v>40510 ОДЕССА-ЗАС I</v>
      </c>
      <c r="AD197" t="str">
        <f ca="1">IFERROR(__xludf.DUMMYFUNCTION("""COMPUTED_VALUE"""),"25.07.21 18-55")</f>
        <v>25.07.21 18-55</v>
      </c>
      <c r="AE197" t="str">
        <f ca="1">IFERROR(__xludf.DUMMYFUNCTION("""COMPUTED_VALUE"""),"310 НEИCПPAВНOCТЬ КOPПУCA AВТОCЦEПКИ")</f>
        <v>310 НEИCПPAВНOCТЬ КOPПУCA AВТОCЦEПКИ</v>
      </c>
      <c r="AF197" t="str">
        <f ca="1">IFERROR(__xludf.DUMMYFUNCTION("""COMPUTED_VALUE"""),"40 ОД")</f>
        <v>40 ОД</v>
      </c>
      <c r="AG197" t="str">
        <f ca="1">IFERROR(__xludf.DUMMYFUNCTION("""COMPUTED_VALUE"""),"40510 ОДЕССА-ЗАС I")</f>
        <v>40510 ОДЕССА-ЗАС I</v>
      </c>
      <c r="AH197" t="str">
        <f ca="1">IFERROR(__xludf.DUMMYFUNCTION("""COMPUTED_VALUE"""),"06.08.21 15-30")</f>
        <v>06.08.21 15-30</v>
      </c>
      <c r="AI197" s="21">
        <f ca="1">IFERROR(__xludf.DUMMYFUNCTION("""COMPUTED_VALUE"""),44420.3576736111)</f>
        <v>44420.357673611099</v>
      </c>
    </row>
    <row r="198" spans="1:35" ht="13" x14ac:dyDescent="0.15">
      <c r="A198">
        <f ca="1">IFERROR(__xludf.DUMMYFUNCTION("""COMPUTED_VALUE"""),780)</f>
        <v>780</v>
      </c>
      <c r="B198" t="str">
        <f ca="1">IFERROR(__xludf.DUMMYFUNCTION("""COMPUTED_VALUE"""),"Техрейс")</f>
        <v>Техрейс</v>
      </c>
      <c r="C198" t="str">
        <f ca="1">IFERROR(__xludf.DUMMYFUNCTION("""COMPUTED_VALUE"""),"ФМС груп")</f>
        <v>ФМС груп</v>
      </c>
      <c r="D198">
        <f ca="1">IFERROR(__xludf.DUMMYFUNCTION("""COMPUTED_VALUE"""),63067276)</f>
        <v>63067276</v>
      </c>
      <c r="E198" t="str">
        <f ca="1">IFERROR(__xludf.DUMMYFUNCTION("""COMPUTED_VALUE"""),"60 ПОЛУВАГОНЫ")</f>
        <v>60 ПОЛУВАГОНЫ</v>
      </c>
      <c r="F198">
        <f ca="1">IFERROR(__xludf.DUMMYFUNCTION("""COMPUTED_VALUE"""),14109)</f>
        <v>14109</v>
      </c>
      <c r="G198" t="str">
        <f ca="1">IFERROR(__xludf.DUMMYFUNCTION("""COMPUTED_VALUE"""),"ГЕМАТИТ")</f>
        <v>ГЕМАТИТ</v>
      </c>
      <c r="H198">
        <f ca="1">IFERROR(__xludf.DUMMYFUNCTION("""COMPUTED_VALUE"""),70)</f>
        <v>70</v>
      </c>
      <c r="I198">
        <f ca="1">IFERROR(__xludf.DUMMYFUNCTION("""COMPUTED_VALUE"""),5786)</f>
        <v>5786</v>
      </c>
      <c r="J198" t="str">
        <f ca="1">IFERROR(__xludf.DUMMYFUNCTION("""COMPUTED_VALUE"""),"2760 (40050-083-46720) БЕРЕГОВАЯ - КРИВОЙ РОГ")</f>
        <v>2760 (40050-083-46720) БЕРЕГОВАЯ - КРИВОЙ РОГ</v>
      </c>
      <c r="K198">
        <f ca="1">IFERROR(__xludf.DUMMYFUNCTION("""COMPUTED_VALUE"""),40050)</f>
        <v>40050</v>
      </c>
      <c r="L198" t="str">
        <f ca="1">IFERROR(__xludf.DUMMYFUNCTION("""COMPUTED_VALUE"""),"БЕРЕГОВАЯ")</f>
        <v>БЕРЕГОВАЯ</v>
      </c>
      <c r="M198" t="str">
        <f ca="1">IFERROR(__xludf.DUMMYFUNCTION("""COMPUTED_VALUE"""),"12.08.21 05-00")</f>
        <v>12.08.21 05-00</v>
      </c>
      <c r="N198" t="str">
        <f ca="1">IFERROR(__xludf.DUMMYFUNCTION("""COMPUTED_VALUE"""),"21 ВЫГ2")</f>
        <v>21 ВЫГ2</v>
      </c>
      <c r="O198">
        <f ca="1">IFERROR(__xludf.DUMMYFUNCTION("""COMPUTED_VALUE"""),40060)</f>
        <v>40060</v>
      </c>
      <c r="P198" t="str">
        <f ca="1">IFERROR(__xludf.DUMMYFUNCTION("""COMPUTED_VALUE"""),"БЕРЕГОВАЯ-Э")</f>
        <v>БЕРЕГОВАЯ-Э</v>
      </c>
      <c r="Q198">
        <f ca="1">IFERROR(__xludf.DUMMYFUNCTION("""COMPUTED_VALUE"""),46720)</f>
        <v>46720</v>
      </c>
      <c r="R198" t="str">
        <f ca="1">IFERROR(__xludf.DUMMYFUNCTION("""COMPUTED_VALUE"""),"КРИВОЙ РОГ")</f>
        <v>КРИВОЙ РОГ</v>
      </c>
      <c r="S198" t="str">
        <f ca="1">IFERROR(__xludf.DUMMYFUNCTION("""COMPUTED_VALUE"""),"10.08.21 10-20")</f>
        <v>10.08.21 10-20</v>
      </c>
      <c r="U198" t="str">
        <f ca="1">IFERROR(__xludf.DUMMYFUNCTION("""COMPUTED_VALUE"""),"02.11.2021 ДР")</f>
        <v>02.11.2021 ДР</v>
      </c>
      <c r="Z198" t="str">
        <f ca="1">IFERROR(__xludf.DUMMYFUNCTION("""COMPUTED_VALUE"""),"ООО ""Ф.М.С. групп""")</f>
        <v>ООО "Ф.М.С. групп"</v>
      </c>
      <c r="AA198" t="str">
        <f ca="1">IFERROR(__xludf.DUMMYFUNCTION("""COMPUTED_VALUE"""),"12-783")</f>
        <v>12-783</v>
      </c>
      <c r="AB198" t="str">
        <f ca="1">IFERROR(__xludf.DUMMYFUNCTION("""COMPUTED_VALUE"""),"45 ПРИДН")</f>
        <v>45 ПРИДН</v>
      </c>
      <c r="AC198" t="str">
        <f ca="1">IFERROR(__xludf.DUMMYFUNCTION("""COMPUTED_VALUE"""),"47660 ДНЕПРОРУДНАЯ")</f>
        <v>47660 ДНЕПРОРУДНАЯ</v>
      </c>
      <c r="AD198" t="str">
        <f ca="1">IFERROR(__xludf.DUMMYFUNCTION("""COMPUTED_VALUE"""),"20.08.19 14-26")</f>
        <v>20.08.19 14-26</v>
      </c>
      <c r="AE198" t="str">
        <f ca="1">IFERROR(__xludf.DUMMYFUNCTION("""COMPUTED_VALUE"""),"540 НEИCПPAВНOCТЬ ЗAПOPA ЛЮКA")</f>
        <v>540 НEИCПPAВНOCТЬ ЗAПOPA ЛЮКA</v>
      </c>
      <c r="AF198" t="str">
        <f ca="1">IFERROR(__xludf.DUMMYFUNCTION("""COMPUTED_VALUE"""),"45 ПРИДН")</f>
        <v>45 ПРИДН</v>
      </c>
      <c r="AG198" t="str">
        <f ca="1">IFERROR(__xludf.DUMMYFUNCTION("""COMPUTED_VALUE"""),"47660 ДНЕПРОРУДНАЯ")</f>
        <v>47660 ДНЕПРОРУДНАЯ</v>
      </c>
      <c r="AH198" t="str">
        <f ca="1">IFERROR(__xludf.DUMMYFUNCTION("""COMPUTED_VALUE"""),"21.08.19 11-50")</f>
        <v>21.08.19 11-50</v>
      </c>
      <c r="AI198" s="21">
        <f ca="1">IFERROR(__xludf.DUMMYFUNCTION("""COMPUTED_VALUE"""),44420.3576736111)</f>
        <v>44420.357673611099</v>
      </c>
    </row>
    <row r="199" spans="1:35" ht="13" x14ac:dyDescent="0.15">
      <c r="A199">
        <f ca="1">IFERROR(__xludf.DUMMYFUNCTION("""COMPUTED_VALUE"""),781)</f>
        <v>781</v>
      </c>
      <c r="B199" t="str">
        <f ca="1">IFERROR(__xludf.DUMMYFUNCTION("""COMPUTED_VALUE"""),"Подольский цемент")</f>
        <v>Подольский цемент</v>
      </c>
      <c r="C199" t="str">
        <f ca="1">IFERROR(__xludf.DUMMYFUNCTION("""COMPUTED_VALUE"""),"ФМС груп")</f>
        <v>ФМС груп</v>
      </c>
      <c r="D199">
        <f ca="1">IFERROR(__xludf.DUMMYFUNCTION("""COMPUTED_VALUE"""),63060248)</f>
        <v>63060248</v>
      </c>
      <c r="E199" t="str">
        <f ca="1">IFERROR(__xludf.DUMMYFUNCTION("""COMPUTED_VALUE"""),"60 ПОЛУВАГОНЫ")</f>
        <v>60 ПОЛУВАГОНЫ</v>
      </c>
      <c r="F199">
        <f ca="1">IFERROR(__xludf.DUMMYFUNCTION("""COMPUTED_VALUE"""),24500)</f>
        <v>24500</v>
      </c>
      <c r="G199" t="str">
        <f ca="1">IFERROR(__xludf.DUMMYFUNCTION("""COMPUTED_VALUE"""),"КЛИНКЕР ЦЕМЕНТ")</f>
        <v>КЛИНКЕР ЦЕМЕНТ</v>
      </c>
      <c r="H199">
        <f ca="1">IFERROR(__xludf.DUMMYFUNCTION("""COMPUTED_VALUE"""),69)</f>
        <v>69</v>
      </c>
      <c r="I199">
        <f ca="1">IFERROR(__xludf.DUMMYFUNCTION("""COMPUTED_VALUE"""),1489)</f>
        <v>1489</v>
      </c>
      <c r="J199" t="str">
        <f ca="1">IFERROR(__xludf.DUMMYFUNCTION("""COMPUTED_VALUE"""),"9511 (33300-030-37780) ГУМЕНЦЫ - НИКОЛАЕВ-ДН")</f>
        <v>9511 (33300-030-37780) ГУМЕНЦЫ - НИКОЛАЕВ-ДН</v>
      </c>
      <c r="K199">
        <f ca="1">IFERROR(__xludf.DUMMYFUNCTION("""COMPUTED_VALUE"""),37780)</f>
        <v>37780</v>
      </c>
      <c r="L199" t="str">
        <f ca="1">IFERROR(__xludf.DUMMYFUNCTION("""COMPUTED_VALUE"""),"НИКОЛАЕВ-ДН")</f>
        <v>НИКОЛАЕВ-ДН</v>
      </c>
      <c r="M199" t="str">
        <f ca="1">IFERROR(__xludf.DUMMYFUNCTION("""COMPUTED_VALUE"""),"10.08.21 17-40")</f>
        <v>10.08.21 17-40</v>
      </c>
      <c r="N199" t="str">
        <f ca="1">IFERROR(__xludf.DUMMYFUNCTION("""COMPUTED_VALUE"""),"21 ВЫГ2")</f>
        <v>21 ВЫГ2</v>
      </c>
      <c r="O199">
        <f ca="1">IFERROR(__xludf.DUMMYFUNCTION("""COMPUTED_VALUE"""),37780)</f>
        <v>37780</v>
      </c>
      <c r="P199" t="str">
        <f ca="1">IFERROR(__xludf.DUMMYFUNCTION("""COMPUTED_VALUE"""),"НИКОЛАЕВ-ДН")</f>
        <v>НИКОЛАЕВ-ДН</v>
      </c>
      <c r="Q199">
        <f ca="1">IFERROR(__xludf.DUMMYFUNCTION("""COMPUTED_VALUE"""),33300)</f>
        <v>33300</v>
      </c>
      <c r="R199" t="str">
        <f ca="1">IFERROR(__xludf.DUMMYFUNCTION("""COMPUTED_VALUE"""),"ГУМЕНЦЫ")</f>
        <v>ГУМЕНЦЫ</v>
      </c>
      <c r="S199" t="str">
        <f ca="1">IFERROR(__xludf.DUMMYFUNCTION("""COMPUTED_VALUE"""),"09.08.21 09-20")</f>
        <v>09.08.21 09-20</v>
      </c>
      <c r="U199" t="str">
        <f ca="1">IFERROR(__xludf.DUMMYFUNCTION("""COMPUTED_VALUE"""),"02.11.2021 ДР")</f>
        <v>02.11.2021 ДР</v>
      </c>
      <c r="Z199" t="str">
        <f ca="1">IFERROR(__xludf.DUMMYFUNCTION("""COMPUTED_VALUE"""),"ООО ""Ф.М.С. групп""")</f>
        <v>ООО "Ф.М.С. групп"</v>
      </c>
      <c r="AA199" t="str">
        <f ca="1">IFERROR(__xludf.DUMMYFUNCTION("""COMPUTED_VALUE"""),"12-783")</f>
        <v>12-783</v>
      </c>
      <c r="AB199" t="str">
        <f ca="1">IFERROR(__xludf.DUMMYFUNCTION("""COMPUTED_VALUE"""),"45 ПРИДН")</f>
        <v>45 ПРИДН</v>
      </c>
      <c r="AC199" t="str">
        <f ca="1">IFERROR(__xludf.DUMMYFUNCTION("""COMPUTED_VALUE"""),"46070 ЗАПОРОЖЬЕ I")</f>
        <v>46070 ЗАПОРОЖЬЕ I</v>
      </c>
      <c r="AD199" t="str">
        <f ca="1">IFERROR(__xludf.DUMMYFUNCTION("""COMPUTED_VALUE"""),"26.09.20 21-10")</f>
        <v>26.09.20 21-10</v>
      </c>
      <c r="AE199" t="str">
        <f ca="1">IFERROR(__xludf.DUMMYFUNCTION("""COMPUTED_VALUE"""),"401 НEИCПPAВНOCТЬ AВТOPEЖИМA И ЕГО ПPИВОДА")</f>
        <v>401 НEИCПPAВНOCТЬ AВТOPEЖИМA И ЕГО ПPИВОДА</v>
      </c>
      <c r="AF199" t="str">
        <f ca="1">IFERROR(__xludf.DUMMYFUNCTION("""COMPUTED_VALUE"""),"45 ПРИДН")</f>
        <v>45 ПРИДН</v>
      </c>
      <c r="AG199" t="str">
        <f ca="1">IFERROR(__xludf.DUMMYFUNCTION("""COMPUTED_VALUE"""),"46070 ЗАПОРОЖЬЕ I")</f>
        <v>46070 ЗАПОРОЖЬЕ I</v>
      </c>
      <c r="AH199" t="str">
        <f ca="1">IFERROR(__xludf.DUMMYFUNCTION("""COMPUTED_VALUE"""),"02.10.20 15-50")</f>
        <v>02.10.20 15-50</v>
      </c>
      <c r="AI199" s="21">
        <f ca="1">IFERROR(__xludf.DUMMYFUNCTION("""COMPUTED_VALUE"""),44420.3576736111)</f>
        <v>44420.357673611099</v>
      </c>
    </row>
    <row r="200" spans="1:35" ht="13" x14ac:dyDescent="0.15">
      <c r="A200">
        <f ca="1">IFERROR(__xludf.DUMMYFUNCTION("""COMPUTED_VALUE"""),782)</f>
        <v>782</v>
      </c>
      <c r="B200" t="str">
        <f ca="1">IFERROR(__xludf.DUMMYFUNCTION("""COMPUTED_VALUE"""),"Техрейс")</f>
        <v>Техрейс</v>
      </c>
      <c r="C200" t="str">
        <f ca="1">IFERROR(__xludf.DUMMYFUNCTION("""COMPUTED_VALUE"""),"ФМС груп")</f>
        <v>ФМС груп</v>
      </c>
      <c r="D200">
        <f ca="1">IFERROR(__xludf.DUMMYFUNCTION("""COMPUTED_VALUE"""),64226707)</f>
        <v>64226707</v>
      </c>
      <c r="E200" t="str">
        <f ca="1">IFERROR(__xludf.DUMMYFUNCTION("""COMPUTED_VALUE"""),"60 ПОЛУВАГОНЫ")</f>
        <v>60 ПОЛУВАГОНЫ</v>
      </c>
      <c r="F200">
        <f ca="1">IFERROR(__xludf.DUMMYFUNCTION("""COMPUTED_VALUE"""),24133)</f>
        <v>24133</v>
      </c>
      <c r="G200" t="str">
        <f ca="1">IFERROR(__xludf.DUMMYFUNCTION("""COMPUTED_VALUE"""),"КАМЕНЬ ИЗВЕСТ")</f>
        <v>КАМЕНЬ ИЗВЕСТ</v>
      </c>
      <c r="H200">
        <f ca="1">IFERROR(__xludf.DUMMYFUNCTION("""COMPUTED_VALUE"""),68)</f>
        <v>68</v>
      </c>
      <c r="I200">
        <f ca="1">IFERROR(__xludf.DUMMYFUNCTION("""COMPUTED_VALUE"""),6832)</f>
        <v>6832</v>
      </c>
      <c r="J200" t="str">
        <f ca="1">IFERROR(__xludf.DUMMYFUNCTION("""COMPUTED_VALUE"""),"3601 (45640-013-45650) ВЕРХОВЦЕВО - ВОЛЬНОГОРСК")</f>
        <v>3601 (45640-013-45650) ВЕРХОВЦЕВО - ВОЛЬНОГОРСК</v>
      </c>
      <c r="K200">
        <f ca="1">IFERROR(__xludf.DUMMYFUNCTION("""COMPUTED_VALUE"""),45650)</f>
        <v>45650</v>
      </c>
      <c r="L200" t="str">
        <f ca="1">IFERROR(__xludf.DUMMYFUNCTION("""COMPUTED_VALUE"""),"ВОЛЬНОГОРСК")</f>
        <v>ВОЛЬНОГОРСК</v>
      </c>
      <c r="M200" t="str">
        <f ca="1">IFERROR(__xludf.DUMMYFUNCTION("""COMPUTED_VALUE"""),"10.08.21 16-45")</f>
        <v>10.08.21 16-45</v>
      </c>
      <c r="N200" t="str">
        <f ca="1">IFERROR(__xludf.DUMMYFUNCTION("""COMPUTED_VALUE"""),"21 ВЫГ2")</f>
        <v>21 ВЫГ2</v>
      </c>
      <c r="O200">
        <f ca="1">IFERROR(__xludf.DUMMYFUNCTION("""COMPUTED_VALUE"""),45650)</f>
        <v>45650</v>
      </c>
      <c r="P200" t="str">
        <f ca="1">IFERROR(__xludf.DUMMYFUNCTION("""COMPUTED_VALUE"""),"ВОЛЬНОГОРСК")</f>
        <v>ВОЛЬНОГОРСК</v>
      </c>
      <c r="Q200">
        <f ca="1">IFERROR(__xludf.DUMMYFUNCTION("""COMPUTED_VALUE"""),41790)</f>
        <v>41790</v>
      </c>
      <c r="R200" t="str">
        <f ca="1">IFERROR(__xludf.DUMMYFUNCTION("""COMPUTED_VALUE"""),"ХЕРСОН-ПОРТ")</f>
        <v>ХЕРСОН-ПОРТ</v>
      </c>
      <c r="S200" t="str">
        <f ca="1">IFERROR(__xludf.DUMMYFUNCTION("""COMPUTED_VALUE"""),"03.08.21 14-50")</f>
        <v>03.08.21 14-50</v>
      </c>
      <c r="U200" t="str">
        <f ca="1">IFERROR(__xludf.DUMMYFUNCTION("""COMPUTED_VALUE"""),"04.12.2022 ДР")</f>
        <v>04.12.2022 ДР</v>
      </c>
      <c r="Z200" t="str">
        <f ca="1">IFERROR(__xludf.DUMMYFUNCTION("""COMPUTED_VALUE"""),"ООО ""Ф.М.С. групп""")</f>
        <v>ООО "Ф.М.С. групп"</v>
      </c>
      <c r="AA200" t="str">
        <f ca="1">IFERROR(__xludf.DUMMYFUNCTION("""COMPUTED_VALUE"""),"12-783")</f>
        <v>12-783</v>
      </c>
      <c r="AI200" s="21">
        <f ca="1">IFERROR(__xludf.DUMMYFUNCTION("""COMPUTED_VALUE"""),44420.3576736111)</f>
        <v>44420.357673611099</v>
      </c>
    </row>
    <row r="201" spans="1:35" ht="13" x14ac:dyDescent="0.15">
      <c r="A201">
        <f ca="1">IFERROR(__xludf.DUMMYFUNCTION("""COMPUTED_VALUE"""),783)</f>
        <v>783</v>
      </c>
      <c r="B201" t="str">
        <f ca="1">IFERROR(__xludf.DUMMYFUNCTION("""COMPUTED_VALUE"""),"Подольский цемент")</f>
        <v>Подольский цемент</v>
      </c>
      <c r="C201" t="str">
        <f ca="1">IFERROR(__xludf.DUMMYFUNCTION("""COMPUTED_VALUE"""),"ФМС груп")</f>
        <v>ФМС груп</v>
      </c>
      <c r="D201">
        <f ca="1">IFERROR(__xludf.DUMMYFUNCTION("""COMPUTED_VALUE"""),64226541)</f>
        <v>64226541</v>
      </c>
      <c r="E201" t="str">
        <f ca="1">IFERROR(__xludf.DUMMYFUNCTION("""COMPUTED_VALUE"""),"60 ПОЛУВАГОНЫ")</f>
        <v>60 ПОЛУВАГОНЫ</v>
      </c>
      <c r="F201">
        <f ca="1">IFERROR(__xludf.DUMMYFUNCTION("""COMPUTED_VALUE"""),42103)</f>
        <v>42103</v>
      </c>
      <c r="G201" t="str">
        <f ca="1">IFERROR(__xludf.DUMMYFUNCTION("""COMPUTED_VALUE"""),"ВАГОНЫ ЖД СВ")</f>
        <v>ВАГОНЫ ЖД СВ</v>
      </c>
      <c r="H201">
        <f ca="1">IFERROR(__xludf.DUMMYFUNCTION("""COMPUTED_VALUE"""),0)</f>
        <v>0</v>
      </c>
      <c r="I201">
        <f ca="1">IFERROR(__xludf.DUMMYFUNCTION("""COMPUTED_VALUE"""),5268)</f>
        <v>5268</v>
      </c>
      <c r="J201" t="str">
        <f ca="1">IFERROR(__xludf.DUMMYFUNCTION("""COMPUTED_VALUE"""),"9511 (33300-056-37780) ГУМЕНЦЫ - НИКОЛАЕВ-ДН")</f>
        <v>9511 (33300-056-37780) ГУМЕНЦЫ - НИКОЛАЕВ-ДН</v>
      </c>
      <c r="K201">
        <f ca="1">IFERROR(__xludf.DUMMYFUNCTION("""COMPUTED_VALUE"""),37780)</f>
        <v>37780</v>
      </c>
      <c r="L201" t="str">
        <f ca="1">IFERROR(__xludf.DUMMYFUNCTION("""COMPUTED_VALUE"""),"НИКОЛАЕВ-ДН")</f>
        <v>НИКОЛАЕВ-ДН</v>
      </c>
      <c r="M201" t="str">
        <f ca="1">IFERROR(__xludf.DUMMYFUNCTION("""COMPUTED_VALUE"""),"10.08.21 09-00")</f>
        <v>10.08.21 09-00</v>
      </c>
      <c r="N201" t="str">
        <f ca="1">IFERROR(__xludf.DUMMYFUNCTION("""COMPUTED_VALUE"""),"91 ПРДР")</f>
        <v>91 ПРДР</v>
      </c>
      <c r="O201">
        <f ca="1">IFERROR(__xludf.DUMMYFUNCTION("""COMPUTED_VALUE"""),33300)</f>
        <v>33300</v>
      </c>
      <c r="P201" t="str">
        <f ca="1">IFERROR(__xludf.DUMMYFUNCTION("""COMPUTED_VALUE"""),"ГУМЕНЦЫ")</f>
        <v>ГУМЕНЦЫ</v>
      </c>
      <c r="Q201">
        <f ca="1">IFERROR(__xludf.DUMMYFUNCTION("""COMPUTED_VALUE"""),37780)</f>
        <v>37780</v>
      </c>
      <c r="R201" t="str">
        <f ca="1">IFERROR(__xludf.DUMMYFUNCTION("""COMPUTED_VALUE"""),"НИКОЛАЕВ-ДН")</f>
        <v>НИКОЛАЕВ-ДН</v>
      </c>
      <c r="S201" t="str">
        <f ca="1">IFERROR(__xludf.DUMMYFUNCTION("""COMPUTED_VALUE"""),"10.08.21 09-00")</f>
        <v>10.08.21 09-00</v>
      </c>
      <c r="T201">
        <f ca="1">IFERROR(__xludf.DUMMYFUNCTION("""COMPUTED_VALUE"""),1489)</f>
        <v>1489</v>
      </c>
      <c r="U201" t="str">
        <f ca="1">IFERROR(__xludf.DUMMYFUNCTION("""COMPUTED_VALUE"""),"04.12.2022 ДР")</f>
        <v>04.12.2022 ДР</v>
      </c>
      <c r="Z201" t="str">
        <f ca="1">IFERROR(__xludf.DUMMYFUNCTION("""COMPUTED_VALUE"""),"ООО ""Ф.М.С. групп""")</f>
        <v>ООО "Ф.М.С. групп"</v>
      </c>
      <c r="AA201" t="str">
        <f ca="1">IFERROR(__xludf.DUMMYFUNCTION("""COMPUTED_VALUE"""),"12-783")</f>
        <v>12-783</v>
      </c>
      <c r="AI201" s="21">
        <f ca="1">IFERROR(__xludf.DUMMYFUNCTION("""COMPUTED_VALUE"""),44420.3576736111)</f>
        <v>44420.357673611099</v>
      </c>
    </row>
    <row r="202" spans="1:35" ht="13" x14ac:dyDescent="0.15">
      <c r="A202">
        <f ca="1">IFERROR(__xludf.DUMMYFUNCTION("""COMPUTED_VALUE"""),784)</f>
        <v>784</v>
      </c>
      <c r="B202" t="str">
        <f ca="1">IFERROR(__xludf.DUMMYFUNCTION("""COMPUTED_VALUE"""),"Техрейс")</f>
        <v>Техрейс</v>
      </c>
      <c r="C202" t="str">
        <f ca="1">IFERROR(__xludf.DUMMYFUNCTION("""COMPUTED_VALUE"""),"ФМС груп")</f>
        <v>ФМС груп</v>
      </c>
      <c r="D202">
        <f ca="1">IFERROR(__xludf.DUMMYFUNCTION("""COMPUTED_VALUE"""),62976303)</f>
        <v>62976303</v>
      </c>
      <c r="E202" t="str">
        <f ca="1">IFERROR(__xludf.DUMMYFUNCTION("""COMPUTED_VALUE"""),"60 ПОЛУВАГОНЫ")</f>
        <v>60 ПОЛУВАГОНЫ</v>
      </c>
      <c r="F202">
        <f ca="1">IFERROR(__xludf.DUMMYFUNCTION("""COMPUTED_VALUE"""),24133)</f>
        <v>24133</v>
      </c>
      <c r="G202" t="str">
        <f ca="1">IFERROR(__xludf.DUMMYFUNCTION("""COMPUTED_VALUE"""),"КАМЕНЬ ИЗВЕСТ")</f>
        <v>КАМЕНЬ ИЗВЕСТ</v>
      </c>
      <c r="H202">
        <f ca="1">IFERROR(__xludf.DUMMYFUNCTION("""COMPUTED_VALUE"""),68)</f>
        <v>68</v>
      </c>
      <c r="I202">
        <f ca="1">IFERROR(__xludf.DUMMYFUNCTION("""COMPUTED_VALUE"""),6832)</f>
        <v>6832</v>
      </c>
      <c r="J202" t="str">
        <f ca="1">IFERROR(__xludf.DUMMYFUNCTION("""COMPUTED_VALUE"""),"3601 (45640-013-45650) ВЕРХОВЦЕВО - ВОЛЬНОГОРСК")</f>
        <v>3601 (45640-013-45650) ВЕРХОВЦЕВО - ВОЛЬНОГОРСК</v>
      </c>
      <c r="K202">
        <f ca="1">IFERROR(__xludf.DUMMYFUNCTION("""COMPUTED_VALUE"""),45650)</f>
        <v>45650</v>
      </c>
      <c r="L202" t="str">
        <f ca="1">IFERROR(__xludf.DUMMYFUNCTION("""COMPUTED_VALUE"""),"ВОЛЬНОГОРСК")</f>
        <v>ВОЛЬНОГОРСК</v>
      </c>
      <c r="M202" t="str">
        <f ca="1">IFERROR(__xludf.DUMMYFUNCTION("""COMPUTED_VALUE"""),"10.08.21 16-45")</f>
        <v>10.08.21 16-45</v>
      </c>
      <c r="N202" t="str">
        <f ca="1">IFERROR(__xludf.DUMMYFUNCTION("""COMPUTED_VALUE"""),"21 ВЫГ2")</f>
        <v>21 ВЫГ2</v>
      </c>
      <c r="O202">
        <f ca="1">IFERROR(__xludf.DUMMYFUNCTION("""COMPUTED_VALUE"""),45650)</f>
        <v>45650</v>
      </c>
      <c r="P202" t="str">
        <f ca="1">IFERROR(__xludf.DUMMYFUNCTION("""COMPUTED_VALUE"""),"ВОЛЬНОГОРСК")</f>
        <v>ВОЛЬНОГОРСК</v>
      </c>
      <c r="Q202">
        <f ca="1">IFERROR(__xludf.DUMMYFUNCTION("""COMPUTED_VALUE"""),41790)</f>
        <v>41790</v>
      </c>
      <c r="R202" t="str">
        <f ca="1">IFERROR(__xludf.DUMMYFUNCTION("""COMPUTED_VALUE"""),"ХЕРСОН-ПОРТ")</f>
        <v>ХЕРСОН-ПОРТ</v>
      </c>
      <c r="S202" t="str">
        <f ca="1">IFERROR(__xludf.DUMMYFUNCTION("""COMPUTED_VALUE"""),"03.08.21 15-20")</f>
        <v>03.08.21 15-20</v>
      </c>
      <c r="U202" t="str">
        <f ca="1">IFERROR(__xludf.DUMMYFUNCTION("""COMPUTED_VALUE"""),"24.02.2023 ДР")</f>
        <v>24.02.2023 ДР</v>
      </c>
      <c r="Z202" t="str">
        <f ca="1">IFERROR(__xludf.DUMMYFUNCTION("""COMPUTED_VALUE"""),"ООО ""Ф.М.С. групп""")</f>
        <v>ООО "Ф.М.С. групп"</v>
      </c>
      <c r="AA202" t="str">
        <f ca="1">IFERROR(__xludf.DUMMYFUNCTION("""COMPUTED_VALUE"""),"12-783")</f>
        <v>12-783</v>
      </c>
      <c r="AB202" t="str">
        <f ca="1">IFERROR(__xludf.DUMMYFUNCTION("""COMPUTED_VALUE"""),"43 ЮЖН")</f>
        <v>43 ЮЖН</v>
      </c>
      <c r="AC202" t="str">
        <f ca="1">IFERROR(__xludf.DUMMYFUNCTION("""COMPUTED_VALUE"""),"43000 КУПЯНСК-СОРТ")</f>
        <v>43000 КУПЯНСК-СОРТ</v>
      </c>
      <c r="AD202" t="str">
        <f ca="1">IFERROR(__xludf.DUMMYFUNCTION("""COMPUTED_VALUE"""),"18.02.20 22-36")</f>
        <v>18.02.20 22-36</v>
      </c>
      <c r="AE202" t="str">
        <f ca="1">IFERROR(__xludf.DUMMYFUNCTION("""COMPUTED_VALUE"""),"570 ИCТEК КAЛЕНДАРНЫЙ CPOК ДEПOВCКОГО PEМOНТA")</f>
        <v>570 ИCТEК КAЛЕНДАРНЫЙ CPOК ДEПOВCКОГО PEМOНТA</v>
      </c>
      <c r="AF202" t="str">
        <f ca="1">IFERROR(__xludf.DUMMYFUNCTION("""COMPUTED_VALUE"""),"43 ЮЖН")</f>
        <v>43 ЮЖН</v>
      </c>
      <c r="AG202" t="str">
        <f ca="1">IFERROR(__xludf.DUMMYFUNCTION("""COMPUTED_VALUE"""),"43000 КУПЯНСК-СОРТ")</f>
        <v>43000 КУПЯНСК-СОРТ</v>
      </c>
      <c r="AH202" t="str">
        <f ca="1">IFERROR(__xludf.DUMMYFUNCTION("""COMPUTED_VALUE"""),"24.02.20 13-00")</f>
        <v>24.02.20 13-00</v>
      </c>
      <c r="AI202" s="21">
        <f ca="1">IFERROR(__xludf.DUMMYFUNCTION("""COMPUTED_VALUE"""),44420.3576736111)</f>
        <v>44420.357673611099</v>
      </c>
    </row>
    <row r="203" spans="1:35" ht="13" x14ac:dyDescent="0.15">
      <c r="A203">
        <f ca="1">IFERROR(__xludf.DUMMYFUNCTION("""COMPUTED_VALUE"""),785)</f>
        <v>785</v>
      </c>
      <c r="B203" t="str">
        <f ca="1">IFERROR(__xludf.DUMMYFUNCTION("""COMPUTED_VALUE"""),"Техрейс")</f>
        <v>Техрейс</v>
      </c>
      <c r="C203" t="str">
        <f ca="1">IFERROR(__xludf.DUMMYFUNCTION("""COMPUTED_VALUE"""),"ФМС груп")</f>
        <v>ФМС груп</v>
      </c>
      <c r="D203">
        <f ca="1">IFERROR(__xludf.DUMMYFUNCTION("""COMPUTED_VALUE"""),64226558)</f>
        <v>64226558</v>
      </c>
      <c r="E203" t="str">
        <f ca="1">IFERROR(__xludf.DUMMYFUNCTION("""COMPUTED_VALUE"""),"60 ПОЛУВАГОНЫ")</f>
        <v>60 ПОЛУВАГОНЫ</v>
      </c>
      <c r="F203">
        <f ca="1">IFERROR(__xludf.DUMMYFUNCTION("""COMPUTED_VALUE"""),23225)</f>
        <v>23225</v>
      </c>
      <c r="G203" t="str">
        <f ca="1">IFERROR(__xludf.DUMMYFUNCTION("""COMPUTED_VALUE"""),"ОТСЕВ ГРАН КАМ")</f>
        <v>ОТСЕВ ГРАН КАМ</v>
      </c>
      <c r="H203">
        <f ca="1">IFERROR(__xludf.DUMMYFUNCTION("""COMPUTED_VALUE"""),70)</f>
        <v>70</v>
      </c>
      <c r="I203">
        <f ca="1">IFERROR(__xludf.DUMMYFUNCTION("""COMPUTED_VALUE"""),5155)</f>
        <v>5155</v>
      </c>
      <c r="J203" t="str">
        <f ca="1">IFERROR(__xludf.DUMMYFUNCTION("""COMPUTED_VALUE"""),"2812 (41000-477-45640) ЗНАМЕНКА - ВЕРХОВЦЕВО")</f>
        <v>2812 (41000-477-45640) ЗНАМЕНКА - ВЕРХОВЦЕВО</v>
      </c>
      <c r="K203">
        <f ca="1">IFERROR(__xludf.DUMMYFUNCTION("""COMPUTED_VALUE"""),45640)</f>
        <v>45640</v>
      </c>
      <c r="L203" t="str">
        <f ca="1">IFERROR(__xludf.DUMMYFUNCTION("""COMPUTED_VALUE"""),"ВЕРХОВЦЕВО")</f>
        <v>ВЕРХОВЦЕВО</v>
      </c>
      <c r="M203" t="str">
        <f ca="1">IFERROR(__xludf.DUMMYFUNCTION("""COMPUTED_VALUE"""),"11.08.21 14-40")</f>
        <v>11.08.21 14-40</v>
      </c>
      <c r="N203" t="str">
        <f ca="1">IFERROR(__xludf.DUMMYFUNCTION("""COMPUTED_VALUE"""),"04 РАСФ")</f>
        <v>04 РАСФ</v>
      </c>
      <c r="O203">
        <f ca="1">IFERROR(__xludf.DUMMYFUNCTION("""COMPUTED_VALUE"""),45630)</f>
        <v>45630</v>
      </c>
      <c r="P203" t="str">
        <f ca="1">IFERROR(__xludf.DUMMYFUNCTION("""COMPUTED_VALUE"""),"ВЕРХНЕДНЕПР")</f>
        <v>ВЕРХНЕДНЕПР</v>
      </c>
      <c r="Q203">
        <f ca="1">IFERROR(__xludf.DUMMYFUNCTION("""COMPUTED_VALUE"""),36800)</f>
        <v>36800</v>
      </c>
      <c r="R203" t="str">
        <f ca="1">IFERROR(__xludf.DUMMYFUNCTION("""COMPUTED_VALUE"""),"СОКИРЯНЫ")</f>
        <v>СОКИРЯНЫ</v>
      </c>
      <c r="S203" t="str">
        <f ca="1">IFERROR(__xludf.DUMMYFUNCTION("""COMPUTED_VALUE"""),"02.08.21 19-00")</f>
        <v>02.08.21 19-00</v>
      </c>
      <c r="T203">
        <f ca="1">IFERROR(__xludf.DUMMYFUNCTION("""COMPUTED_VALUE"""),9259)</f>
        <v>9259</v>
      </c>
      <c r="U203" t="str">
        <f ca="1">IFERROR(__xludf.DUMMYFUNCTION("""COMPUTED_VALUE"""),"02.12.2022 ДР")</f>
        <v>02.12.2022 ДР</v>
      </c>
      <c r="Z203" t="str">
        <f ca="1">IFERROR(__xludf.DUMMYFUNCTION("""COMPUTED_VALUE"""),"ООО ""Ф.М.С. групп""")</f>
        <v>ООО "Ф.М.С. групп"</v>
      </c>
      <c r="AA203" t="str">
        <f ca="1">IFERROR(__xludf.DUMMYFUNCTION("""COMPUTED_VALUE"""),"12-783")</f>
        <v>12-783</v>
      </c>
      <c r="AB203" t="str">
        <f ca="1">IFERROR(__xludf.DUMMYFUNCTION("""COMPUTED_VALUE"""),"32 Ю-ЗАП")</f>
        <v>32 Ю-ЗАП</v>
      </c>
      <c r="AC203" t="str">
        <f ca="1">IFERROR(__xludf.DUMMYFUNCTION("""COMPUTED_VALUE"""),"33000 ЖМЕРИНКА")</f>
        <v>33000 ЖМЕРИНКА</v>
      </c>
      <c r="AD203" t="str">
        <f ca="1">IFERROR(__xludf.DUMMYFUNCTION("""COMPUTED_VALUE"""),"12.07.21 01-20")</f>
        <v>12.07.21 01-20</v>
      </c>
      <c r="AE203" t="str">
        <f ca="1">IFERROR(__xludf.DUMMYFUNCTION("""COMPUTED_VALUE"""),"403 НEИCПPAВНОСТЬ ВOЗДУXOPACПPEДEЛИТEЛЯ")</f>
        <v>403 НEИCПPAВНОСТЬ ВOЗДУXOPACПPEДEЛИТEЛЯ</v>
      </c>
      <c r="AF203" t="str">
        <f ca="1">IFERROR(__xludf.DUMMYFUNCTION("""COMPUTED_VALUE"""),"32 Ю-ЗАП")</f>
        <v>32 Ю-ЗАП</v>
      </c>
      <c r="AG203" t="str">
        <f ca="1">IFERROR(__xludf.DUMMYFUNCTION("""COMPUTED_VALUE"""),"33000 ЖМЕРИНКА")</f>
        <v>33000 ЖМЕРИНКА</v>
      </c>
      <c r="AH203" t="str">
        <f ca="1">IFERROR(__xludf.DUMMYFUNCTION("""COMPUTED_VALUE"""),"14.07.21 16-30")</f>
        <v>14.07.21 16-30</v>
      </c>
      <c r="AI203" s="21">
        <f ca="1">IFERROR(__xludf.DUMMYFUNCTION("""COMPUTED_VALUE"""),44420.3576736111)</f>
        <v>44420.357673611099</v>
      </c>
    </row>
    <row r="204" spans="1:35" ht="13" x14ac:dyDescent="0.15">
      <c r="A204">
        <f ca="1">IFERROR(__xludf.DUMMYFUNCTION("""COMPUTED_VALUE"""),786)</f>
        <v>786</v>
      </c>
      <c r="B204" t="str">
        <f ca="1">IFERROR(__xludf.DUMMYFUNCTION("""COMPUTED_VALUE"""),"Техрейс")</f>
        <v>Техрейс</v>
      </c>
      <c r="C204" t="str">
        <f ca="1">IFERROR(__xludf.DUMMYFUNCTION("""COMPUTED_VALUE"""),"ФМС груп")</f>
        <v>ФМС груп</v>
      </c>
      <c r="D204">
        <f ca="1">IFERROR(__xludf.DUMMYFUNCTION("""COMPUTED_VALUE"""),64226574)</f>
        <v>64226574</v>
      </c>
      <c r="E204" t="str">
        <f ca="1">IFERROR(__xludf.DUMMYFUNCTION("""COMPUTED_VALUE"""),"60 ПОЛУВАГОНЫ")</f>
        <v>60 ПОЛУВАГОНЫ</v>
      </c>
      <c r="F204">
        <f ca="1">IFERROR(__xludf.DUMMYFUNCTION("""COMPUTED_VALUE"""),43604)</f>
        <v>43604</v>
      </c>
      <c r="G204" t="str">
        <f ca="1">IFERROR(__xludf.DUMMYFUNCTION("""COMPUTED_VALUE"""),"ДИАММОФОС")</f>
        <v>ДИАММОФОС</v>
      </c>
      <c r="H204">
        <f ca="1">IFERROR(__xludf.DUMMYFUNCTION("""COMPUTED_VALUE"""),68)</f>
        <v>68</v>
      </c>
      <c r="I204">
        <f ca="1">IFERROR(__xludf.DUMMYFUNCTION("""COMPUTED_VALUE"""),2154)</f>
        <v>2154</v>
      </c>
      <c r="J204" t="str">
        <f ca="1">IFERROR(__xludf.DUMMYFUNCTION("""COMPUTED_VALUE"""),"2844 (35000-040-34270) ЗДОЛБУНОВ - КАЗАТИН I")</f>
        <v>2844 (35000-040-34270) ЗДОЛБУНОВ - КАЗАТИН I</v>
      </c>
      <c r="K204">
        <f ca="1">IFERROR(__xludf.DUMMYFUNCTION("""COMPUTED_VALUE"""),34000)</f>
        <v>34000</v>
      </c>
      <c r="L204" t="str">
        <f ca="1">IFERROR(__xludf.DUMMYFUNCTION("""COMPUTED_VALUE"""),"ШЕПЕТОВКА")</f>
        <v>ШЕПЕТОВКА</v>
      </c>
      <c r="M204" t="str">
        <f ca="1">IFERROR(__xludf.DUMMYFUNCTION("""COMPUTED_VALUE"""),"11.08.21 12-00")</f>
        <v>11.08.21 12-00</v>
      </c>
      <c r="N204" t="str">
        <f ca="1">IFERROR(__xludf.DUMMYFUNCTION("""COMPUTED_VALUE"""),"51 ПРИБ")</f>
        <v>51 ПРИБ</v>
      </c>
      <c r="O204">
        <f ca="1">IFERROR(__xludf.DUMMYFUNCTION("""COMPUTED_VALUE"""),44280)</f>
        <v>44280</v>
      </c>
      <c r="P204" t="str">
        <f ca="1">IFERROR(__xludf.DUMMYFUNCTION("""COMPUTED_VALUE"""),"ЛОЗОВАЯ")</f>
        <v>ЛОЗОВАЯ</v>
      </c>
      <c r="Q204">
        <f ca="1">IFERROR(__xludf.DUMMYFUNCTION("""COMPUTED_VALUE"""),35050)</f>
        <v>35050</v>
      </c>
      <c r="R204" t="str">
        <f ca="1">IFERROR(__xludf.DUMMYFUNCTION("""COMPUTED_VALUE"""),"КРЕМЕНЕЦ")</f>
        <v>КРЕМЕНЕЦ</v>
      </c>
      <c r="S204" t="str">
        <f ca="1">IFERROR(__xludf.DUMMYFUNCTION("""COMPUTED_VALUE"""),"06.08.21 17-25")</f>
        <v>06.08.21 17-25</v>
      </c>
      <c r="T204">
        <f ca="1">IFERROR(__xludf.DUMMYFUNCTION("""COMPUTED_VALUE"""),1727)</f>
        <v>1727</v>
      </c>
      <c r="U204" t="str">
        <f ca="1">IFERROR(__xludf.DUMMYFUNCTION("""COMPUTED_VALUE"""),"02.12.2022 ДР")</f>
        <v>02.12.2022 ДР</v>
      </c>
      <c r="Z204" t="str">
        <f ca="1">IFERROR(__xludf.DUMMYFUNCTION("""COMPUTED_VALUE"""),"ООО ""Ф.М.С. групп""")</f>
        <v>ООО "Ф.М.С. групп"</v>
      </c>
      <c r="AA204" t="str">
        <f ca="1">IFERROR(__xludf.DUMMYFUNCTION("""COMPUTED_VALUE"""),"12-783")</f>
        <v>12-783</v>
      </c>
      <c r="AI204" s="21">
        <f ca="1">IFERROR(__xludf.DUMMYFUNCTION("""COMPUTED_VALUE"""),44420.3576736111)</f>
        <v>44420.357673611099</v>
      </c>
    </row>
    <row r="205" spans="1:35" ht="13" x14ac:dyDescent="0.15">
      <c r="A205">
        <f ca="1">IFERROR(__xludf.DUMMYFUNCTION("""COMPUTED_VALUE"""),787)</f>
        <v>787</v>
      </c>
      <c r="B205" t="str">
        <f ca="1">IFERROR(__xludf.DUMMYFUNCTION("""COMPUTED_VALUE"""),"Трансцентр")</f>
        <v>Трансцентр</v>
      </c>
      <c r="C205" t="str">
        <f ca="1">IFERROR(__xludf.DUMMYFUNCTION("""COMPUTED_VALUE"""),"ФМС груп")</f>
        <v>ФМС груп</v>
      </c>
      <c r="D205">
        <f ca="1">IFERROR(__xludf.DUMMYFUNCTION("""COMPUTED_VALUE"""),64226566)</f>
        <v>64226566</v>
      </c>
      <c r="E205" t="str">
        <f ca="1">IFERROR(__xludf.DUMMYFUNCTION("""COMPUTED_VALUE"""),"60 ПОЛУВАГОНЫ")</f>
        <v>60 ПОЛУВАГОНЫ</v>
      </c>
      <c r="F205">
        <f ca="1">IFERROR(__xludf.DUMMYFUNCTION("""COMPUTED_VALUE"""),42103)</f>
        <v>42103</v>
      </c>
      <c r="G205" t="str">
        <f ca="1">IFERROR(__xludf.DUMMYFUNCTION("""COMPUTED_VALUE"""),"ВАГОНЫ ЖД СВ")</f>
        <v>ВАГОНЫ ЖД СВ</v>
      </c>
      <c r="H205">
        <f ca="1">IFERROR(__xludf.DUMMYFUNCTION("""COMPUTED_VALUE"""),69)</f>
        <v>69</v>
      </c>
      <c r="I205">
        <f ca="1">IFERROR(__xludf.DUMMYFUNCTION("""COMPUTED_VALUE"""),6302)</f>
        <v>6302</v>
      </c>
      <c r="J205" t="str">
        <f ca="1">IFERROR(__xludf.DUMMYFUNCTION("""COMPUTED_VALUE"""),"3040 (35400-038-35000) КОВЕЛЬ - ЗДОЛБУНОВ")</f>
        <v>3040 (35400-038-35000) КОВЕЛЬ - ЗДОЛБУНОВ</v>
      </c>
      <c r="K205">
        <f ca="1">IFERROR(__xludf.DUMMYFUNCTION("""COMPUTED_VALUE"""),34000)</f>
        <v>34000</v>
      </c>
      <c r="L205" t="str">
        <f ca="1">IFERROR(__xludf.DUMMYFUNCTION("""COMPUTED_VALUE"""),"ШЕПЕТОВКА")</f>
        <v>ШЕПЕТОВКА</v>
      </c>
      <c r="M205" t="str">
        <f ca="1">IFERROR(__xludf.DUMMYFUNCTION("""COMPUTED_VALUE"""),"12.08.21 01-20")</f>
        <v>12.08.21 01-20</v>
      </c>
      <c r="N205" t="str">
        <f ca="1">IFERROR(__xludf.DUMMYFUNCTION("""COMPUTED_VALUE"""),"84 ДОСЛ")</f>
        <v>84 ДОСЛ</v>
      </c>
      <c r="O205">
        <f ca="1">IFERROR(__xludf.DUMMYFUNCTION("""COMPUTED_VALUE"""),34780)</f>
        <v>34780</v>
      </c>
      <c r="P205" t="str">
        <f ca="1">IFERROR(__xludf.DUMMYFUNCTION("""COMPUTED_VALUE"""),"МАЙДАН-ВИЛА")</f>
        <v>МАЙДАН-ВИЛА</v>
      </c>
      <c r="Q205">
        <f ca="1">IFERROR(__xludf.DUMMYFUNCTION("""COMPUTED_VALUE"""),34780)</f>
        <v>34780</v>
      </c>
      <c r="R205" t="str">
        <f ca="1">IFERROR(__xludf.DUMMYFUNCTION("""COMPUTED_VALUE"""),"МАЙДАН-ВИЛА")</f>
        <v>МАЙДАН-ВИЛА</v>
      </c>
      <c r="S205" t="str">
        <f ca="1">IFERROR(__xludf.DUMMYFUNCTION("""COMPUTED_VALUE"""),"29.07.21 13-10")</f>
        <v>29.07.21 13-10</v>
      </c>
      <c r="T205">
        <f ca="1">IFERROR(__xludf.DUMMYFUNCTION("""COMPUTED_VALUE"""),0)</f>
        <v>0</v>
      </c>
      <c r="U205" t="str">
        <f ca="1">IFERROR(__xludf.DUMMYFUNCTION("""COMPUTED_VALUE"""),"03.12.2022 ДР")</f>
        <v>03.12.2022 ДР</v>
      </c>
      <c r="Z205" t="str">
        <f ca="1">IFERROR(__xludf.DUMMYFUNCTION("""COMPUTED_VALUE"""),"ООО ""Ф.М.С. групп""")</f>
        <v>ООО "Ф.М.С. групп"</v>
      </c>
      <c r="AA205" t="str">
        <f ca="1">IFERROR(__xludf.DUMMYFUNCTION("""COMPUTED_VALUE"""),"12-783")</f>
        <v>12-783</v>
      </c>
      <c r="AB205" t="str">
        <f ca="1">IFERROR(__xludf.DUMMYFUNCTION("""COMPUTED_VALUE"""),"32 Ю-ЗАП")</f>
        <v>32 Ю-ЗАП</v>
      </c>
      <c r="AC205" t="str">
        <f ca="1">IFERROR(__xludf.DUMMYFUNCTION("""COMPUTED_VALUE"""),"34000 ШЕПЕТОВКА")</f>
        <v>34000 ШЕПЕТОВКА</v>
      </c>
      <c r="AD205" t="str">
        <f ca="1">IFERROR(__xludf.DUMMYFUNCTION("""COMPUTED_VALUE"""),"07.03.21 20-20")</f>
        <v>07.03.21 20-20</v>
      </c>
      <c r="AE205" t="str">
        <f ca="1">IFERROR(__xludf.DUMMYFUNCTION("""COMPUTED_VALUE"""),"540 НEИCПPAВНOCТЬ ЗAПOPA ЛЮКA")</f>
        <v>540 НEИCПPAВНOCТЬ ЗAПOPA ЛЮКA</v>
      </c>
      <c r="AF205" t="str">
        <f ca="1">IFERROR(__xludf.DUMMYFUNCTION("""COMPUTED_VALUE"""),"32 Ю-ЗАП")</f>
        <v>32 Ю-ЗАП</v>
      </c>
      <c r="AG205" t="str">
        <f ca="1">IFERROR(__xludf.DUMMYFUNCTION("""COMPUTED_VALUE"""),"34000 ШЕПЕТОВКА")</f>
        <v>34000 ШЕПЕТОВКА</v>
      </c>
      <c r="AH205" t="str">
        <f ca="1">IFERROR(__xludf.DUMMYFUNCTION("""COMPUTED_VALUE"""),"13.03.21 11-00")</f>
        <v>13.03.21 11-00</v>
      </c>
      <c r="AI205" s="21">
        <f ca="1">IFERROR(__xludf.DUMMYFUNCTION("""COMPUTED_VALUE"""),44420.3576736111)</f>
        <v>44420.357673611099</v>
      </c>
    </row>
    <row r="206" spans="1:35" ht="13" x14ac:dyDescent="0.15">
      <c r="A206">
        <f ca="1">IFERROR(__xludf.DUMMYFUNCTION("""COMPUTED_VALUE"""),788)</f>
        <v>788</v>
      </c>
      <c r="B206" t="str">
        <f ca="1">IFERROR(__xludf.DUMMYFUNCTION("""COMPUTED_VALUE"""),"Трансцентр")</f>
        <v>Трансцентр</v>
      </c>
      <c r="C206" t="str">
        <f ca="1">IFERROR(__xludf.DUMMYFUNCTION("""COMPUTED_VALUE"""),"ФМС груп")</f>
        <v>ФМС груп</v>
      </c>
      <c r="D206">
        <f ca="1">IFERROR(__xludf.DUMMYFUNCTION("""COMPUTED_VALUE"""),64226525)</f>
        <v>64226525</v>
      </c>
      <c r="E206" t="str">
        <f ca="1">IFERROR(__xludf.DUMMYFUNCTION("""COMPUTED_VALUE"""),"60 ПОЛУВАГОНЫ")</f>
        <v>60 ПОЛУВАГОНЫ</v>
      </c>
      <c r="F206">
        <f ca="1">IFERROR(__xludf.DUMMYFUNCTION("""COMPUTED_VALUE"""),42103)</f>
        <v>42103</v>
      </c>
      <c r="G206" t="str">
        <f ca="1">IFERROR(__xludf.DUMMYFUNCTION("""COMPUTED_VALUE"""),"ВАГОНЫ ЖД СВ")</f>
        <v>ВАГОНЫ ЖД СВ</v>
      </c>
      <c r="H206">
        <f ca="1">IFERROR(__xludf.DUMMYFUNCTION("""COMPUTED_VALUE"""),69)</f>
        <v>69</v>
      </c>
      <c r="I206">
        <f ca="1">IFERROR(__xludf.DUMMYFUNCTION("""COMPUTED_VALUE"""),6302)</f>
        <v>6302</v>
      </c>
      <c r="J206" t="str">
        <f ca="1">IFERROR(__xludf.DUMMYFUNCTION("""COMPUTED_VALUE"""),"3040 (35400-038-35000) КОВЕЛЬ - ЗДОЛБУНОВ")</f>
        <v>3040 (35400-038-35000) КОВЕЛЬ - ЗДОЛБУНОВ</v>
      </c>
      <c r="K206">
        <f ca="1">IFERROR(__xludf.DUMMYFUNCTION("""COMPUTED_VALUE"""),34000)</f>
        <v>34000</v>
      </c>
      <c r="L206" t="str">
        <f ca="1">IFERROR(__xludf.DUMMYFUNCTION("""COMPUTED_VALUE"""),"ШЕПЕТОВКА")</f>
        <v>ШЕПЕТОВКА</v>
      </c>
      <c r="M206" t="str">
        <f ca="1">IFERROR(__xludf.DUMMYFUNCTION("""COMPUTED_VALUE"""),"12.08.21 01-20")</f>
        <v>12.08.21 01-20</v>
      </c>
      <c r="N206" t="str">
        <f ca="1">IFERROR(__xludf.DUMMYFUNCTION("""COMPUTED_VALUE"""),"84 ДОСЛ")</f>
        <v>84 ДОСЛ</v>
      </c>
      <c r="O206">
        <f ca="1">IFERROR(__xludf.DUMMYFUNCTION("""COMPUTED_VALUE"""),34780)</f>
        <v>34780</v>
      </c>
      <c r="P206" t="str">
        <f ca="1">IFERROR(__xludf.DUMMYFUNCTION("""COMPUTED_VALUE"""),"МАЙДАН-ВИЛА")</f>
        <v>МАЙДАН-ВИЛА</v>
      </c>
      <c r="Q206">
        <f ca="1">IFERROR(__xludf.DUMMYFUNCTION("""COMPUTED_VALUE"""),34780)</f>
        <v>34780</v>
      </c>
      <c r="R206" t="str">
        <f ca="1">IFERROR(__xludf.DUMMYFUNCTION("""COMPUTED_VALUE"""),"МАЙДАН-ВИЛА")</f>
        <v>МАЙДАН-ВИЛА</v>
      </c>
      <c r="S206" t="str">
        <f ca="1">IFERROR(__xludf.DUMMYFUNCTION("""COMPUTED_VALUE"""),"29.07.21 13-10")</f>
        <v>29.07.21 13-10</v>
      </c>
      <c r="T206">
        <f ca="1">IFERROR(__xludf.DUMMYFUNCTION("""COMPUTED_VALUE"""),0)</f>
        <v>0</v>
      </c>
      <c r="U206" t="str">
        <f ca="1">IFERROR(__xludf.DUMMYFUNCTION("""COMPUTED_VALUE"""),"04.12.2022 ДР")</f>
        <v>04.12.2022 ДР</v>
      </c>
      <c r="Z206" t="str">
        <f ca="1">IFERROR(__xludf.DUMMYFUNCTION("""COMPUTED_VALUE"""),"ООО ""Ф.М.С. групп""")</f>
        <v>ООО "Ф.М.С. групп"</v>
      </c>
      <c r="AA206" t="str">
        <f ca="1">IFERROR(__xludf.DUMMYFUNCTION("""COMPUTED_VALUE"""),"12-783")</f>
        <v>12-783</v>
      </c>
      <c r="AB206" t="str">
        <f ca="1">IFERROR(__xludf.DUMMYFUNCTION("""COMPUTED_VALUE"""),"32 Ю-ЗАП")</f>
        <v>32 Ю-ЗАП</v>
      </c>
      <c r="AC206" t="str">
        <f ca="1">IFERROR(__xludf.DUMMYFUNCTION("""COMPUTED_VALUE"""),"34000 ШЕПЕТОВКА")</f>
        <v>34000 ШЕПЕТОВКА</v>
      </c>
      <c r="AD206" t="str">
        <f ca="1">IFERROR(__xludf.DUMMYFUNCTION("""COMPUTED_VALUE"""),"07.03.21 20-20")</f>
        <v>07.03.21 20-20</v>
      </c>
      <c r="AE206" t="str">
        <f ca="1">IFERROR(__xludf.DUMMYFUNCTION("""COMPUTED_VALUE"""),"540 НEИCПPAВНOCТЬ ЗAПOPA ЛЮКA")</f>
        <v>540 НEИCПPAВНOCТЬ ЗAПOPA ЛЮКA</v>
      </c>
      <c r="AF206" t="str">
        <f ca="1">IFERROR(__xludf.DUMMYFUNCTION("""COMPUTED_VALUE"""),"32 Ю-ЗАП")</f>
        <v>32 Ю-ЗАП</v>
      </c>
      <c r="AG206" t="str">
        <f ca="1">IFERROR(__xludf.DUMMYFUNCTION("""COMPUTED_VALUE"""),"34000 ШЕПЕТОВКА")</f>
        <v>34000 ШЕПЕТОВКА</v>
      </c>
      <c r="AH206" t="str">
        <f ca="1">IFERROR(__xludf.DUMMYFUNCTION("""COMPUTED_VALUE"""),"13.03.21 11-00")</f>
        <v>13.03.21 11-00</v>
      </c>
      <c r="AI206" s="21">
        <f ca="1">IFERROR(__xludf.DUMMYFUNCTION("""COMPUTED_VALUE"""),44420.3576736111)</f>
        <v>44420.357673611099</v>
      </c>
    </row>
    <row r="207" spans="1:35" ht="13" x14ac:dyDescent="0.15">
      <c r="A207">
        <f ca="1">IFERROR(__xludf.DUMMYFUNCTION("""COMPUTED_VALUE"""),789)</f>
        <v>789</v>
      </c>
      <c r="B207" t="str">
        <f ca="1">IFERROR(__xludf.DUMMYFUNCTION("""COMPUTED_VALUE"""),"Лидер")</f>
        <v>Лидер</v>
      </c>
      <c r="C207" t="str">
        <f ca="1">IFERROR(__xludf.DUMMYFUNCTION("""COMPUTED_VALUE"""),"ФМС груп")</f>
        <v>ФМС груп</v>
      </c>
      <c r="D207">
        <f ca="1">IFERROR(__xludf.DUMMYFUNCTION("""COMPUTED_VALUE"""),62976220)</f>
        <v>62976220</v>
      </c>
      <c r="E207" t="str">
        <f ca="1">IFERROR(__xludf.DUMMYFUNCTION("""COMPUTED_VALUE"""),"60 ПОЛУВАГОНЫ")</f>
        <v>60 ПОЛУВАГОНЫ</v>
      </c>
      <c r="F207">
        <f ca="1">IFERROR(__xludf.DUMMYFUNCTION("""COMPUTED_VALUE"""),42103)</f>
        <v>42103</v>
      </c>
      <c r="G207" t="str">
        <f ca="1">IFERROR(__xludf.DUMMYFUNCTION("""COMPUTED_VALUE"""),"ВАГОНЫ ЖД СВ")</f>
        <v>ВАГОНЫ ЖД СВ</v>
      </c>
      <c r="H207">
        <f ca="1">IFERROR(__xludf.DUMMYFUNCTION("""COMPUTED_VALUE"""),0)</f>
        <v>0</v>
      </c>
      <c r="I207">
        <f ca="1">IFERROR(__xludf.DUMMYFUNCTION("""COMPUTED_VALUE"""),3437)</f>
        <v>3437</v>
      </c>
      <c r="J207" t="str">
        <f ca="1">IFERROR(__xludf.DUMMYFUNCTION("""COMPUTED_VALUE"""),"2727 (44020-209-32000) ОСНОВА - ДАРНИЦА")</f>
        <v>2727 (44020-209-32000) ОСНОВА - ДАРНИЦА</v>
      </c>
      <c r="K207">
        <f ca="1">IFERROR(__xludf.DUMMYFUNCTION("""COMPUTED_VALUE"""),32250)</f>
        <v>32250</v>
      </c>
      <c r="L207" t="str">
        <f ca="1">IFERROR(__xludf.DUMMYFUNCTION("""COMPUTED_VALUE"""),"ИМ.Г.КИРПЫ")</f>
        <v>ИМ.Г.КИРПЫ</v>
      </c>
      <c r="M207" t="str">
        <f ca="1">IFERROR(__xludf.DUMMYFUNCTION("""COMPUTED_VALUE"""),"11.08.21 15-01")</f>
        <v>11.08.21 15-01</v>
      </c>
      <c r="N207" t="str">
        <f ca="1">IFERROR(__xludf.DUMMYFUNCTION("""COMPUTED_VALUE"""),"01 ПРИБ")</f>
        <v>01 ПРИБ</v>
      </c>
      <c r="O207">
        <f ca="1">IFERROR(__xludf.DUMMYFUNCTION("""COMPUTED_VALUE"""),34750)</f>
        <v>34750</v>
      </c>
      <c r="P207" t="str">
        <f ca="1">IFERROR(__xludf.DUMMYFUNCTION("""COMPUTED_VALUE"""),"ПЕНИЗЕВИЧИ")</f>
        <v>ПЕНИЗЕВИЧИ</v>
      </c>
      <c r="Q207">
        <f ca="1">IFERROR(__xludf.DUMMYFUNCTION("""COMPUTED_VALUE"""),49870)</f>
        <v>49870</v>
      </c>
      <c r="R207" t="str">
        <f ca="1">IFERROR(__xludf.DUMMYFUNCTION("""COMPUTED_VALUE"""),"РУБЕЖНОЕ")</f>
        <v>РУБЕЖНОЕ</v>
      </c>
      <c r="S207" t="str">
        <f ca="1">IFERROR(__xludf.DUMMYFUNCTION("""COMPUTED_VALUE"""),"07.08.21 23-10")</f>
        <v>07.08.21 23-10</v>
      </c>
      <c r="T207">
        <f ca="1">IFERROR(__xludf.DUMMYFUNCTION("""COMPUTED_VALUE"""),2992)</f>
        <v>2992</v>
      </c>
      <c r="U207" t="str">
        <f ca="1">IFERROR(__xludf.DUMMYFUNCTION("""COMPUTED_VALUE"""),"26.02.2023 ДР")</f>
        <v>26.02.2023 ДР</v>
      </c>
      <c r="Z207" t="str">
        <f ca="1">IFERROR(__xludf.DUMMYFUNCTION("""COMPUTED_VALUE"""),"ООО ""Ф.М.С. групп""")</f>
        <v>ООО "Ф.М.С. групп"</v>
      </c>
      <c r="AA207" t="str">
        <f ca="1">IFERROR(__xludf.DUMMYFUNCTION("""COMPUTED_VALUE"""),"12-783")</f>
        <v>12-783</v>
      </c>
      <c r="AB207" t="str">
        <f ca="1">IFERROR(__xludf.DUMMYFUNCTION("""COMPUTED_VALUE"""),"43 ЮЖН")</f>
        <v>43 ЮЖН</v>
      </c>
      <c r="AC207" t="str">
        <f ca="1">IFERROR(__xludf.DUMMYFUNCTION("""COMPUTED_VALUE"""),"43000 КУПЯНСК-СОРТ")</f>
        <v>43000 КУПЯНСК-СОРТ</v>
      </c>
      <c r="AD207" t="str">
        <f ca="1">IFERROR(__xludf.DUMMYFUNCTION("""COMPUTED_VALUE"""),"19.02.20 20-40")</f>
        <v>19.02.20 20-40</v>
      </c>
      <c r="AE207" t="str">
        <f ca="1">IFERROR(__xludf.DUMMYFUNCTION("""COMPUTED_VALUE"""),"570 ИCТEК КAЛЕНДАРНЫЙ CPOК ДEПOВCКОГО PEМOНТA")</f>
        <v>570 ИCТEК КAЛЕНДАРНЫЙ CPOК ДEПOВCКОГО PEМOНТA</v>
      </c>
      <c r="AF207" t="str">
        <f ca="1">IFERROR(__xludf.DUMMYFUNCTION("""COMPUTED_VALUE"""),"43 ЮЖН")</f>
        <v>43 ЮЖН</v>
      </c>
      <c r="AG207" t="str">
        <f ca="1">IFERROR(__xludf.DUMMYFUNCTION("""COMPUTED_VALUE"""),"43000 КУПЯНСК-СОРТ")</f>
        <v>43000 КУПЯНСК-СОРТ</v>
      </c>
      <c r="AH207" t="str">
        <f ca="1">IFERROR(__xludf.DUMMYFUNCTION("""COMPUTED_VALUE"""),"26.02.20 10-30")</f>
        <v>26.02.20 10-30</v>
      </c>
      <c r="AI207" s="21">
        <f ca="1">IFERROR(__xludf.DUMMYFUNCTION("""COMPUTED_VALUE"""),44420.3576736111)</f>
        <v>44420.357673611099</v>
      </c>
    </row>
    <row r="208" spans="1:35" ht="13" x14ac:dyDescent="0.15">
      <c r="A208">
        <f ca="1">IFERROR(__xludf.DUMMYFUNCTION("""COMPUTED_VALUE"""),790)</f>
        <v>790</v>
      </c>
      <c r="B208" t="str">
        <f ca="1">IFERROR(__xludf.DUMMYFUNCTION("""COMPUTED_VALUE"""),"Техрейс")</f>
        <v>Техрейс</v>
      </c>
      <c r="C208" t="str">
        <f ca="1">IFERROR(__xludf.DUMMYFUNCTION("""COMPUTED_VALUE"""),"ФМС груп")</f>
        <v>ФМС груп</v>
      </c>
      <c r="D208">
        <f ca="1">IFERROR(__xludf.DUMMYFUNCTION("""COMPUTED_VALUE"""),62800875)</f>
        <v>62800875</v>
      </c>
      <c r="E208" t="str">
        <f ca="1">IFERROR(__xludf.DUMMYFUNCTION("""COMPUTED_VALUE"""),"60 ПОЛУВАГОНЫ")</f>
        <v>60 ПОЛУВАГОНЫ</v>
      </c>
      <c r="F208">
        <f ca="1">IFERROR(__xludf.DUMMYFUNCTION("""COMPUTED_VALUE"""),42103)</f>
        <v>42103</v>
      </c>
      <c r="G208" t="str">
        <f ca="1">IFERROR(__xludf.DUMMYFUNCTION("""COMPUTED_VALUE"""),"ВАГОНЫ ЖД СВ")</f>
        <v>ВАГОНЫ ЖД СВ</v>
      </c>
      <c r="H208">
        <f ca="1">IFERROR(__xludf.DUMMYFUNCTION("""COMPUTED_VALUE"""),0)</f>
        <v>0</v>
      </c>
      <c r="I208">
        <f ca="1">IFERROR(__xludf.DUMMYFUNCTION("""COMPUTED_VALUE"""),4305)</f>
        <v>4305</v>
      </c>
      <c r="J208" t="str">
        <f ca="1">IFERROR(__xludf.DUMMYFUNCTION("""COMPUTED_VALUE"""),"2902 (41000-535-42500) ЗНАМЕНКА - КРЕМЕНЧУГ")</f>
        <v>2902 (41000-535-42500) ЗНАМЕНКА - КРЕМЕНЧУГ</v>
      </c>
      <c r="K208">
        <f ca="1">IFERROR(__xludf.DUMMYFUNCTION("""COMPUTED_VALUE"""),41030)</f>
        <v>41030</v>
      </c>
      <c r="L208" t="str">
        <f ca="1">IFERROR(__xludf.DUMMYFUNCTION("""COMPUTED_VALUE"""),"КОРИСТОВКА")</f>
        <v>КОРИСТОВКА</v>
      </c>
      <c r="M208" t="str">
        <f ca="1">IFERROR(__xludf.DUMMYFUNCTION("""COMPUTED_VALUE"""),"12.08.21 08-13")</f>
        <v>12.08.21 08-13</v>
      </c>
      <c r="N208" t="str">
        <f ca="1">IFERROR(__xludf.DUMMYFUNCTION("""COMPUTED_VALUE"""),"09 ГОТ")</f>
        <v>09 ГОТ</v>
      </c>
      <c r="O208">
        <f ca="1">IFERROR(__xludf.DUMMYFUNCTION("""COMPUTED_VALUE"""),42500)</f>
        <v>42500</v>
      </c>
      <c r="P208" t="str">
        <f ca="1">IFERROR(__xludf.DUMMYFUNCTION("""COMPUTED_VALUE"""),"КРЕМЕНЧУГ")</f>
        <v>КРЕМЕНЧУГ</v>
      </c>
      <c r="Q208">
        <f ca="1">IFERROR(__xludf.DUMMYFUNCTION("""COMPUTED_VALUE"""),42420)</f>
        <v>42420</v>
      </c>
      <c r="R208" t="str">
        <f ca="1">IFERROR(__xludf.DUMMYFUNCTION("""COMPUTED_VALUE"""),"ЧЕРКАССЫ")</f>
        <v>ЧЕРКАССЫ</v>
      </c>
      <c r="S208" t="str">
        <f ca="1">IFERROR(__xludf.DUMMYFUNCTION("""COMPUTED_VALUE"""),"09.08.21 19-20")</f>
        <v>09.08.21 19-20</v>
      </c>
      <c r="T208">
        <f ca="1">IFERROR(__xludf.DUMMYFUNCTION("""COMPUTED_VALUE"""),8200)</f>
        <v>8200</v>
      </c>
      <c r="U208" t="str">
        <f ca="1">IFERROR(__xludf.DUMMYFUNCTION("""COMPUTED_VALUE"""),"11.10.2021 ДР")</f>
        <v>11.10.2021 ДР</v>
      </c>
      <c r="Z208" t="str">
        <f ca="1">IFERROR(__xludf.DUMMYFUNCTION("""COMPUTED_VALUE"""),"ООО ""Ф.М.С. групп""")</f>
        <v>ООО "Ф.М.С. групп"</v>
      </c>
      <c r="AA208" t="str">
        <f ca="1">IFERROR(__xludf.DUMMYFUNCTION("""COMPUTED_VALUE"""),"12-783")</f>
        <v>12-783</v>
      </c>
      <c r="AB208" t="str">
        <f ca="1">IFERROR(__xludf.DUMMYFUNCTION("""COMPUTED_VALUE"""),"48 ДОН")</f>
        <v>48 ДОН</v>
      </c>
      <c r="AC208" t="str">
        <f ca="1">IFERROR(__xludf.DUMMYFUNCTION("""COMPUTED_VALUE"""),"49480 СОЛЬ")</f>
        <v>49480 СОЛЬ</v>
      </c>
      <c r="AD208" t="str">
        <f ca="1">IFERROR(__xludf.DUMMYFUNCTION("""COMPUTED_VALUE"""),"06.07.21 08-50")</f>
        <v>06.07.21 08-50</v>
      </c>
      <c r="AE208" t="str">
        <f ca="1">IFERROR(__xludf.DUMMYFUNCTION("""COMPUTED_VALUE"""),"445 ЗAВAP БAШМAКA")</f>
        <v>445 ЗAВAP БAШМAКA</v>
      </c>
      <c r="AF208" t="str">
        <f ca="1">IFERROR(__xludf.DUMMYFUNCTION("""COMPUTED_VALUE"""),"48 ДОН")</f>
        <v>48 ДОН</v>
      </c>
      <c r="AG208" t="str">
        <f ca="1">IFERROR(__xludf.DUMMYFUNCTION("""COMPUTED_VALUE"""),"49480 СОЛЬ")</f>
        <v>49480 СОЛЬ</v>
      </c>
      <c r="AH208" t="str">
        <f ca="1">IFERROR(__xludf.DUMMYFUNCTION("""COMPUTED_VALUE"""),"08.07.21 16-30")</f>
        <v>08.07.21 16-30</v>
      </c>
      <c r="AI208" s="21">
        <f ca="1">IFERROR(__xludf.DUMMYFUNCTION("""COMPUTED_VALUE"""),44420.3576736111)</f>
        <v>44420.357673611099</v>
      </c>
    </row>
    <row r="209" spans="1:35" ht="13" x14ac:dyDescent="0.15">
      <c r="A209">
        <f ca="1">IFERROR(__xludf.DUMMYFUNCTION("""COMPUTED_VALUE"""),791)</f>
        <v>791</v>
      </c>
      <c r="B209" t="str">
        <f ca="1">IFERROR(__xludf.DUMMYFUNCTION("""COMPUTED_VALUE"""),"Техрейс")</f>
        <v>Техрейс</v>
      </c>
      <c r="C209" t="str">
        <f ca="1">IFERROR(__xludf.DUMMYFUNCTION("""COMPUTED_VALUE"""),"ФМС груп")</f>
        <v>ФМС груп</v>
      </c>
      <c r="D209">
        <f ca="1">IFERROR(__xludf.DUMMYFUNCTION("""COMPUTED_VALUE"""),62976246)</f>
        <v>62976246</v>
      </c>
      <c r="E209" t="str">
        <f ca="1">IFERROR(__xludf.DUMMYFUNCTION("""COMPUTED_VALUE"""),"60 ПОЛУВАГОНЫ")</f>
        <v>60 ПОЛУВАГОНЫ</v>
      </c>
      <c r="F209">
        <f ca="1">IFERROR(__xludf.DUMMYFUNCTION("""COMPUTED_VALUE"""),42103)</f>
        <v>42103</v>
      </c>
      <c r="G209" t="str">
        <f ca="1">IFERROR(__xludf.DUMMYFUNCTION("""COMPUTED_VALUE"""),"ВАГОНЫ ЖД СВ")</f>
        <v>ВАГОНЫ ЖД СВ</v>
      </c>
      <c r="H209">
        <f ca="1">IFERROR(__xludf.DUMMYFUNCTION("""COMPUTED_VALUE"""),0)</f>
        <v>0</v>
      </c>
      <c r="I209">
        <f ca="1">IFERROR(__xludf.DUMMYFUNCTION("""COMPUTED_VALUE"""),5343)</f>
        <v>5343</v>
      </c>
      <c r="J209" t="str">
        <f ca="1">IFERROR(__xludf.DUMMYFUNCTION("""COMPUTED_VALUE"""),"2001 (40050-079-46720) БЕРЕГОВАЯ - КРИВОЙ РОГ")</f>
        <v>2001 (40050-079-46720) БЕРЕГОВАЯ - КРИВОЙ РОГ</v>
      </c>
      <c r="K209">
        <f ca="1">IFERROR(__xludf.DUMMYFUNCTION("""COMPUTED_VALUE"""),40050)</f>
        <v>40050</v>
      </c>
      <c r="L209" t="str">
        <f ca="1">IFERROR(__xludf.DUMMYFUNCTION("""COMPUTED_VALUE"""),"БЕРЕГОВАЯ")</f>
        <v>БЕРЕГОВАЯ</v>
      </c>
      <c r="M209" t="str">
        <f ca="1">IFERROR(__xludf.DUMMYFUNCTION("""COMPUTED_VALUE"""),"12.08.21 05-23")</f>
        <v>12.08.21 05-23</v>
      </c>
      <c r="N209" t="str">
        <f ca="1">IFERROR(__xludf.DUMMYFUNCTION("""COMPUTED_VALUE"""),"05 ФОРМ")</f>
        <v>05 ФОРМ</v>
      </c>
      <c r="O209">
        <f ca="1">IFERROR(__xludf.DUMMYFUNCTION("""COMPUTED_VALUE"""),46720)</f>
        <v>46720</v>
      </c>
      <c r="P209" t="str">
        <f ca="1">IFERROR(__xludf.DUMMYFUNCTION("""COMPUTED_VALUE"""),"КРИВОЙ РОГ")</f>
        <v>КРИВОЙ РОГ</v>
      </c>
      <c r="Q209">
        <f ca="1">IFERROR(__xludf.DUMMYFUNCTION("""COMPUTED_VALUE"""),40050)</f>
        <v>40050</v>
      </c>
      <c r="R209" t="str">
        <f ca="1">IFERROR(__xludf.DUMMYFUNCTION("""COMPUTED_VALUE"""),"БЕРЕГОВАЯ")</f>
        <v>БЕРЕГОВАЯ</v>
      </c>
      <c r="S209" t="str">
        <f ca="1">IFERROR(__xludf.DUMMYFUNCTION("""COMPUTED_VALUE"""),"12.08.21 03-50")</f>
        <v>12.08.21 03-50</v>
      </c>
      <c r="T209">
        <f ca="1">IFERROR(__xludf.DUMMYFUNCTION("""COMPUTED_VALUE"""),8200)</f>
        <v>8200</v>
      </c>
      <c r="U209" t="str">
        <f ca="1">IFERROR(__xludf.DUMMYFUNCTION("""COMPUTED_VALUE"""),"28.02.2023 ДР")</f>
        <v>28.02.2023 ДР</v>
      </c>
      <c r="Z209" t="str">
        <f ca="1">IFERROR(__xludf.DUMMYFUNCTION("""COMPUTED_VALUE"""),"ООО ""Ф.М.С. групп""")</f>
        <v>ООО "Ф.М.С. групп"</v>
      </c>
      <c r="AA209" t="str">
        <f ca="1">IFERROR(__xludf.DUMMYFUNCTION("""COMPUTED_VALUE"""),"12-783")</f>
        <v>12-783</v>
      </c>
      <c r="AB209" t="str">
        <f ca="1">IFERROR(__xludf.DUMMYFUNCTION("""COMPUTED_VALUE"""),"43 ЮЖН")</f>
        <v>43 ЮЖН</v>
      </c>
      <c r="AC209" t="str">
        <f ca="1">IFERROR(__xludf.DUMMYFUNCTION("""COMPUTED_VALUE"""),"44020 ОСНОВА")</f>
        <v>44020 ОСНОВА</v>
      </c>
      <c r="AD209" t="str">
        <f ca="1">IFERROR(__xludf.DUMMYFUNCTION("""COMPUTED_VALUE"""),"18.07.20 01-08")</f>
        <v>18.07.20 01-08</v>
      </c>
      <c r="AE209" t="str">
        <f ca="1">IFERROR(__xludf.DUMMYFUNCTION("""COMPUTED_VALUE"""),"448 НEИCПPAВНOCТЬ РУЧНОГО CТOЯНOЧНОГО ТOPМOЗA")</f>
        <v>448 НEИCПPAВНOCТЬ РУЧНОГО CТOЯНOЧНОГО ТOPМOЗA</v>
      </c>
      <c r="AF209" t="str">
        <f ca="1">IFERROR(__xludf.DUMMYFUNCTION("""COMPUTED_VALUE"""),"43 ЮЖН")</f>
        <v>43 ЮЖН</v>
      </c>
      <c r="AG209" t="str">
        <f ca="1">IFERROR(__xludf.DUMMYFUNCTION("""COMPUTED_VALUE"""),"44020 ОСНОВА")</f>
        <v>44020 ОСНОВА</v>
      </c>
      <c r="AH209" t="str">
        <f ca="1">IFERROR(__xludf.DUMMYFUNCTION("""COMPUTED_VALUE"""),"05.08.20 18-00")</f>
        <v>05.08.20 18-00</v>
      </c>
      <c r="AI209" s="21">
        <f ca="1">IFERROR(__xludf.DUMMYFUNCTION("""COMPUTED_VALUE"""),44420.3576736111)</f>
        <v>44420.357673611099</v>
      </c>
    </row>
    <row r="210" spans="1:35" ht="13" x14ac:dyDescent="0.15">
      <c r="A210">
        <f ca="1">IFERROR(__xludf.DUMMYFUNCTION("""COMPUTED_VALUE"""),792)</f>
        <v>792</v>
      </c>
      <c r="B210" t="str">
        <f ca="1">IFERROR(__xludf.DUMMYFUNCTION("""COMPUTED_VALUE"""),"Подольский цемент")</f>
        <v>Подольский цемент</v>
      </c>
      <c r="C210" t="str">
        <f ca="1">IFERROR(__xludf.DUMMYFUNCTION("""COMPUTED_VALUE"""),"ФМС груп")</f>
        <v>ФМС груп</v>
      </c>
      <c r="D210">
        <f ca="1">IFERROR(__xludf.DUMMYFUNCTION("""COMPUTED_VALUE"""),63048078)</f>
        <v>63048078</v>
      </c>
      <c r="E210" t="str">
        <f ca="1">IFERROR(__xludf.DUMMYFUNCTION("""COMPUTED_VALUE"""),"60 ПОЛУВАГОНЫ")</f>
        <v>60 ПОЛУВАГОНЫ</v>
      </c>
      <c r="F210">
        <f ca="1">IFERROR(__xludf.DUMMYFUNCTION("""COMPUTED_VALUE"""),42103)</f>
        <v>42103</v>
      </c>
      <c r="G210" t="str">
        <f ca="1">IFERROR(__xludf.DUMMYFUNCTION("""COMPUTED_VALUE"""),"ВАГОНЫ ЖД СВ")</f>
        <v>ВАГОНЫ ЖД СВ</v>
      </c>
      <c r="H210">
        <f ca="1">IFERROR(__xludf.DUMMYFUNCTION("""COMPUTED_VALUE"""),0)</f>
        <v>0</v>
      </c>
      <c r="I210">
        <f ca="1">IFERROR(__xludf.DUMMYFUNCTION("""COMPUTED_VALUE"""),2606)</f>
        <v>2606</v>
      </c>
      <c r="J210" t="str">
        <f ca="1">IFERROR(__xludf.DUMMYFUNCTION("""COMPUTED_VALUE"""),"2115 (40000-202-45760) ОДЕССА-СОРТ - МУДРЕНАЯ")</f>
        <v>2115 (40000-202-45760) ОДЕССА-СОРТ - МУДРЕНАЯ</v>
      </c>
      <c r="K210">
        <f ca="1">IFERROR(__xludf.DUMMYFUNCTION("""COMPUTED_VALUE"""),45760)</f>
        <v>45760</v>
      </c>
      <c r="L210" t="str">
        <f ca="1">IFERROR(__xludf.DUMMYFUNCTION("""COMPUTED_VALUE"""),"МУДРЕНАЯ")</f>
        <v>МУДРЕНАЯ</v>
      </c>
      <c r="M210" t="str">
        <f ca="1">IFERROR(__xludf.DUMMYFUNCTION("""COMPUTED_VALUE"""),"12.08.21 03-10")</f>
        <v>12.08.21 03-10</v>
      </c>
      <c r="N210" t="str">
        <f ca="1">IFERROR(__xludf.DUMMYFUNCTION("""COMPUTED_VALUE"""),"98 ОТОТ")</f>
        <v>98 ОТОТ</v>
      </c>
      <c r="O210">
        <f ca="1">IFERROR(__xludf.DUMMYFUNCTION("""COMPUTED_VALUE"""),45760)</f>
        <v>45760</v>
      </c>
      <c r="P210" t="str">
        <f ca="1">IFERROR(__xludf.DUMMYFUNCTION("""COMPUTED_VALUE"""),"МУДРЕНАЯ")</f>
        <v>МУДРЕНАЯ</v>
      </c>
      <c r="Q210">
        <f ca="1">IFERROR(__xludf.DUMMYFUNCTION("""COMPUTED_VALUE"""),40510)</f>
        <v>40510</v>
      </c>
      <c r="R210" t="str">
        <f ca="1">IFERROR(__xludf.DUMMYFUNCTION("""COMPUTED_VALUE"""),"ОДЕССА-ЗАС I")</f>
        <v>ОДЕССА-ЗАС I</v>
      </c>
      <c r="S210" t="str">
        <f ca="1">IFERROR(__xludf.DUMMYFUNCTION("""COMPUTED_VALUE"""),"07.07.21 18-35")</f>
        <v>07.07.21 18-35</v>
      </c>
      <c r="T210">
        <f ca="1">IFERROR(__xludf.DUMMYFUNCTION("""COMPUTED_VALUE"""),1451)</f>
        <v>1451</v>
      </c>
      <c r="U210" t="str">
        <f ca="1">IFERROR(__xludf.DUMMYFUNCTION("""COMPUTED_VALUE"""),"02.11.2021 ДР")</f>
        <v>02.11.2021 ДР</v>
      </c>
      <c r="Z210" t="str">
        <f ca="1">IFERROR(__xludf.DUMMYFUNCTION("""COMPUTED_VALUE"""),"ООО ""Ф.М.С. групп""")</f>
        <v>ООО "Ф.М.С. групп"</v>
      </c>
      <c r="AA210" t="str">
        <f ca="1">IFERROR(__xludf.DUMMYFUNCTION("""COMPUTED_VALUE"""),"12-783")</f>
        <v>12-783</v>
      </c>
      <c r="AB210" t="str">
        <f ca="1">IFERROR(__xludf.DUMMYFUNCTION("""COMPUTED_VALUE"""),"45 ПРИДН")</f>
        <v>45 ПРИДН</v>
      </c>
      <c r="AC210" t="str">
        <f ca="1">IFERROR(__xludf.DUMMYFUNCTION("""COMPUTED_VALUE"""),"45760 МУДРЕНАЯ")</f>
        <v>45760 МУДРЕНАЯ</v>
      </c>
      <c r="AD210" t="str">
        <f ca="1">IFERROR(__xludf.DUMMYFUNCTION("""COMPUTED_VALUE"""),"10.07.21 09-06")</f>
        <v>10.07.21 09-06</v>
      </c>
      <c r="AE21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10" t="str">
        <f ca="1">IFERROR(__xludf.DUMMYFUNCTION("""COMPUTED_VALUE"""),"45 ПРИДН")</f>
        <v>45 ПРИДН</v>
      </c>
      <c r="AG210" t="str">
        <f ca="1">IFERROR(__xludf.DUMMYFUNCTION("""COMPUTED_VALUE"""),"45760 МУДРЕНАЯ")</f>
        <v>45760 МУДРЕНАЯ</v>
      </c>
      <c r="AH210" t="str">
        <f ca="1">IFERROR(__xludf.DUMMYFUNCTION("""COMPUTED_VALUE"""),"10.08.21 13-45")</f>
        <v>10.08.21 13-45</v>
      </c>
      <c r="AI210" s="21">
        <f ca="1">IFERROR(__xludf.DUMMYFUNCTION("""COMPUTED_VALUE"""),44420.3576736111)</f>
        <v>44420.357673611099</v>
      </c>
    </row>
    <row r="211" spans="1:35" ht="13" x14ac:dyDescent="0.15">
      <c r="A211">
        <f ca="1">IFERROR(__xludf.DUMMYFUNCTION("""COMPUTED_VALUE"""),793)</f>
        <v>793</v>
      </c>
      <c r="B211" t="str">
        <f ca="1">IFERROR(__xludf.DUMMYFUNCTION("""COMPUTED_VALUE"""),"Лидер")</f>
        <v>Лидер</v>
      </c>
      <c r="C211" t="str">
        <f ca="1">IFERROR(__xludf.DUMMYFUNCTION("""COMPUTED_VALUE"""),"ФМС груп")</f>
        <v>ФМС груп</v>
      </c>
      <c r="D211">
        <f ca="1">IFERROR(__xludf.DUMMYFUNCTION("""COMPUTED_VALUE"""),63469621)</f>
        <v>63469621</v>
      </c>
      <c r="E211" t="str">
        <f ca="1">IFERROR(__xludf.DUMMYFUNCTION("""COMPUTED_VALUE"""),"60 ПОЛУВАГОНЫ")</f>
        <v>60 ПОЛУВАГОНЫ</v>
      </c>
      <c r="F211">
        <f ca="1">IFERROR(__xludf.DUMMYFUNCTION("""COMPUTED_VALUE"""),42103)</f>
        <v>42103</v>
      </c>
      <c r="G211" t="str">
        <f ca="1">IFERROR(__xludf.DUMMYFUNCTION("""COMPUTED_VALUE"""),"ВАГОНЫ ЖД СВ")</f>
        <v>ВАГОНЫ ЖД СВ</v>
      </c>
      <c r="H211">
        <f ca="1">IFERROR(__xludf.DUMMYFUNCTION("""COMPUTED_VALUE"""),0)</f>
        <v>0</v>
      </c>
      <c r="I211">
        <f ca="1">IFERROR(__xludf.DUMMYFUNCTION("""COMPUTED_VALUE"""),3437)</f>
        <v>3437</v>
      </c>
      <c r="J211" t="str">
        <f ca="1">IFERROR(__xludf.DUMMYFUNCTION("""COMPUTED_VALUE"""),"2727 (44020-209-32000) ОСНОВА - ДАРНИЦА")</f>
        <v>2727 (44020-209-32000) ОСНОВА - ДАРНИЦА</v>
      </c>
      <c r="K211">
        <f ca="1">IFERROR(__xludf.DUMMYFUNCTION("""COMPUTED_VALUE"""),32250)</f>
        <v>32250</v>
      </c>
      <c r="L211" t="str">
        <f ca="1">IFERROR(__xludf.DUMMYFUNCTION("""COMPUTED_VALUE"""),"ИМ.Г.КИРПЫ")</f>
        <v>ИМ.Г.КИРПЫ</v>
      </c>
      <c r="M211" t="str">
        <f ca="1">IFERROR(__xludf.DUMMYFUNCTION("""COMPUTED_VALUE"""),"11.08.21 15-01")</f>
        <v>11.08.21 15-01</v>
      </c>
      <c r="N211" t="str">
        <f ca="1">IFERROR(__xludf.DUMMYFUNCTION("""COMPUTED_VALUE"""),"01 ПРИБ")</f>
        <v>01 ПРИБ</v>
      </c>
      <c r="O211">
        <f ca="1">IFERROR(__xludf.DUMMYFUNCTION("""COMPUTED_VALUE"""),34750)</f>
        <v>34750</v>
      </c>
      <c r="P211" t="str">
        <f ca="1">IFERROR(__xludf.DUMMYFUNCTION("""COMPUTED_VALUE"""),"ПЕНИЗЕВИЧИ")</f>
        <v>ПЕНИЗЕВИЧИ</v>
      </c>
      <c r="Q211">
        <f ca="1">IFERROR(__xludf.DUMMYFUNCTION("""COMPUTED_VALUE"""),49870)</f>
        <v>49870</v>
      </c>
      <c r="R211" t="str">
        <f ca="1">IFERROR(__xludf.DUMMYFUNCTION("""COMPUTED_VALUE"""),"РУБЕЖНОЕ")</f>
        <v>РУБЕЖНОЕ</v>
      </c>
      <c r="S211" t="str">
        <f ca="1">IFERROR(__xludf.DUMMYFUNCTION("""COMPUTED_VALUE"""),"07.08.21 23-10")</f>
        <v>07.08.21 23-10</v>
      </c>
      <c r="T211">
        <f ca="1">IFERROR(__xludf.DUMMYFUNCTION("""COMPUTED_VALUE"""),2992)</f>
        <v>2992</v>
      </c>
      <c r="U211" t="str">
        <f ca="1">IFERROR(__xludf.DUMMYFUNCTION("""COMPUTED_VALUE"""),"20.04.2024 ДР")</f>
        <v>20.04.2024 ДР</v>
      </c>
      <c r="Z211" t="str">
        <f ca="1">IFERROR(__xludf.DUMMYFUNCTION("""COMPUTED_VALUE"""),"ООО ""Ф.М.С. групп""")</f>
        <v>ООО "Ф.М.С. групп"</v>
      </c>
      <c r="AA211" t="str">
        <f ca="1">IFERROR(__xludf.DUMMYFUNCTION("""COMPUTED_VALUE"""),"12-783")</f>
        <v>12-783</v>
      </c>
      <c r="AB211" t="str">
        <f ca="1">IFERROR(__xludf.DUMMYFUNCTION("""COMPUTED_VALUE"""),"43 ЮЖН")</f>
        <v>43 ЮЖН</v>
      </c>
      <c r="AC211" t="str">
        <f ca="1">IFERROR(__xludf.DUMMYFUNCTION("""COMPUTED_VALUE"""),"43000 КУПЯНСК-СОРТ")</f>
        <v>43000 КУПЯНСК-СОРТ</v>
      </c>
      <c r="AD211" t="str">
        <f ca="1">IFERROR(__xludf.DUMMYFUNCTION("""COMPUTED_VALUE"""),"06.04.21 14-38")</f>
        <v>06.04.21 14-38</v>
      </c>
      <c r="AE211" t="str">
        <f ca="1">IFERROR(__xludf.DUMMYFUNCTION("""COMPUTED_VALUE"""),"570 ИCТEК КAЛЕНДАРНЫЙ CPOК ДEПOВCКОГО PEМOНТA")</f>
        <v>570 ИCТEК КAЛЕНДАРНЫЙ CPOК ДEПOВCКОГО PEМOНТA</v>
      </c>
      <c r="AF211" t="str">
        <f ca="1">IFERROR(__xludf.DUMMYFUNCTION("""COMPUTED_VALUE"""),"43 ЮЖН")</f>
        <v>43 ЮЖН</v>
      </c>
      <c r="AG211" t="str">
        <f ca="1">IFERROR(__xludf.DUMMYFUNCTION("""COMPUTED_VALUE"""),"43000 КУПЯНСК-СОРТ")</f>
        <v>43000 КУПЯНСК-СОРТ</v>
      </c>
      <c r="AH211" t="str">
        <f ca="1">IFERROR(__xludf.DUMMYFUNCTION("""COMPUTED_VALUE"""),"20.04.21 11-25")</f>
        <v>20.04.21 11-25</v>
      </c>
      <c r="AI211" s="21">
        <f ca="1">IFERROR(__xludf.DUMMYFUNCTION("""COMPUTED_VALUE"""),44420.3576736111)</f>
        <v>44420.357673611099</v>
      </c>
    </row>
    <row r="212" spans="1:35" ht="13" x14ac:dyDescent="0.15">
      <c r="A212">
        <f ca="1">IFERROR(__xludf.DUMMYFUNCTION("""COMPUTED_VALUE"""),794)</f>
        <v>794</v>
      </c>
      <c r="B212" t="str">
        <f ca="1">IFERROR(__xludf.DUMMYFUNCTION("""COMPUTED_VALUE"""),"Агрохимресурс")</f>
        <v>Агрохимресурс</v>
      </c>
      <c r="C212" t="str">
        <f ca="1">IFERROR(__xludf.DUMMYFUNCTION("""COMPUTED_VALUE"""),"ФМС груп")</f>
        <v>ФМС груп</v>
      </c>
      <c r="D212">
        <f ca="1">IFERROR(__xludf.DUMMYFUNCTION("""COMPUTED_VALUE"""),62976279)</f>
        <v>62976279</v>
      </c>
      <c r="E212" t="str">
        <f ca="1">IFERROR(__xludf.DUMMYFUNCTION("""COMPUTED_VALUE"""),"60 ПОЛУВАГОНЫ")</f>
        <v>60 ПОЛУВАГОНЫ</v>
      </c>
      <c r="F212">
        <f ca="1">IFERROR(__xludf.DUMMYFUNCTION("""COMPUTED_VALUE"""),42103)</f>
        <v>42103</v>
      </c>
      <c r="G212" t="str">
        <f ca="1">IFERROR(__xludf.DUMMYFUNCTION("""COMPUTED_VALUE"""),"ВАГОНЫ ЖД СВ")</f>
        <v>ВАГОНЫ ЖД СВ</v>
      </c>
      <c r="H212">
        <f ca="1">IFERROR(__xludf.DUMMYFUNCTION("""COMPUTED_VALUE"""),0)</f>
        <v>0</v>
      </c>
      <c r="I212">
        <f ca="1">IFERROR(__xludf.DUMMYFUNCTION("""COMPUTED_VALUE"""),4165)</f>
        <v>4165</v>
      </c>
      <c r="J212" t="str">
        <f ca="1">IFERROR(__xludf.DUMMYFUNCTION("""COMPUTED_VALUE"""),"3801 (32500-011-32420) ЧЕРНИГОВ - ГРИБОВА РУД")</f>
        <v>3801 (32500-011-32420) ЧЕРНИГОВ - ГРИБОВА РУД</v>
      </c>
      <c r="K212">
        <f ca="1">IFERROR(__xludf.DUMMYFUNCTION("""COMPUTED_VALUE"""),32430)</f>
        <v>32430</v>
      </c>
      <c r="L212" t="str">
        <f ca="1">IFERROR(__xludf.DUMMYFUNCTION("""COMPUTED_VALUE"""),"ГОЛУБИЧИ")</f>
        <v>ГОЛУБИЧИ</v>
      </c>
      <c r="M212" t="str">
        <f ca="1">IFERROR(__xludf.DUMMYFUNCTION("""COMPUTED_VALUE"""),"11.08.21 15-30")</f>
        <v>11.08.21 15-30</v>
      </c>
      <c r="N212" t="str">
        <f ca="1">IFERROR(__xludf.DUMMYFUNCTION("""COMPUTED_VALUE"""),"98 ОТОТ")</f>
        <v>98 ОТОТ</v>
      </c>
      <c r="O212">
        <f ca="1">IFERROR(__xludf.DUMMYFUNCTION("""COMPUTED_VALUE"""),32430)</f>
        <v>32430</v>
      </c>
      <c r="P212" t="str">
        <f ca="1">IFERROR(__xludf.DUMMYFUNCTION("""COMPUTED_VALUE"""),"ГОЛУБИЧИ")</f>
        <v>ГОЛУБИЧИ</v>
      </c>
      <c r="Q212">
        <f ca="1">IFERROR(__xludf.DUMMYFUNCTION("""COMPUTED_VALUE"""),40770)</f>
        <v>40770</v>
      </c>
      <c r="R212" t="str">
        <f ca="1">IFERROR(__xludf.DUMMYFUNCTION("""COMPUTED_VALUE"""),"КНЯЖЕВО")</f>
        <v>КНЯЖЕВО</v>
      </c>
      <c r="S212" t="str">
        <f ca="1">IFERROR(__xludf.DUMMYFUNCTION("""COMPUTED_VALUE"""),"31.07.21 17-20")</f>
        <v>31.07.21 17-20</v>
      </c>
      <c r="T212">
        <f ca="1">IFERROR(__xludf.DUMMYFUNCTION("""COMPUTED_VALUE"""),2920)</f>
        <v>2920</v>
      </c>
      <c r="U212" t="str">
        <f ca="1">IFERROR(__xludf.DUMMYFUNCTION("""COMPUTED_VALUE"""),"25.02.2023 ДР")</f>
        <v>25.02.2023 ДР</v>
      </c>
      <c r="Z212" t="str">
        <f ca="1">IFERROR(__xludf.DUMMYFUNCTION("""COMPUTED_VALUE"""),"ООО ""Ф.М.С. групп""")</f>
        <v>ООО "Ф.М.С. групп"</v>
      </c>
      <c r="AA212" t="str">
        <f ca="1">IFERROR(__xludf.DUMMYFUNCTION("""COMPUTED_VALUE"""),"12-783")</f>
        <v>12-783</v>
      </c>
      <c r="AB212" t="str">
        <f ca="1">IFERROR(__xludf.DUMMYFUNCTION("""COMPUTED_VALUE"""),"40 ОД")</f>
        <v>40 ОД</v>
      </c>
      <c r="AC212" t="str">
        <f ca="1">IFERROR(__xludf.DUMMYFUNCTION("""COMPUTED_VALUE"""),"40510 ОДЕССА-ЗАС I")</f>
        <v>40510 ОДЕССА-ЗАС I</v>
      </c>
      <c r="AD212" t="str">
        <f ca="1">IFERROR(__xludf.DUMMYFUNCTION("""COMPUTED_VALUE"""),"07.07.20 15-00")</f>
        <v>07.07.20 15-00</v>
      </c>
      <c r="AE212" t="str">
        <f ca="1">IFERROR(__xludf.DUMMYFUNCTION("""COMPUTED_VALUE"""),"452")</f>
        <v>452</v>
      </c>
      <c r="AF212" t="str">
        <f ca="1">IFERROR(__xludf.DUMMYFUNCTION("""COMPUTED_VALUE"""),"40 ОД")</f>
        <v>40 ОД</v>
      </c>
      <c r="AG212" t="str">
        <f ca="1">IFERROR(__xludf.DUMMYFUNCTION("""COMPUTED_VALUE"""),"40510 ОДЕССА-ЗАС I")</f>
        <v>40510 ОДЕССА-ЗАС I</v>
      </c>
      <c r="AH212" t="str">
        <f ca="1">IFERROR(__xludf.DUMMYFUNCTION("""COMPUTED_VALUE"""),"13.07.20 18-00")</f>
        <v>13.07.20 18-00</v>
      </c>
      <c r="AI212" s="21">
        <f ca="1">IFERROR(__xludf.DUMMYFUNCTION("""COMPUTED_VALUE"""),44420.3576736111)</f>
        <v>44420.357673611099</v>
      </c>
    </row>
    <row r="213" spans="1:35" ht="13" x14ac:dyDescent="0.15">
      <c r="A213">
        <f ca="1">IFERROR(__xludf.DUMMYFUNCTION("""COMPUTED_VALUE"""),795)</f>
        <v>795</v>
      </c>
      <c r="B213" t="str">
        <f ca="1">IFERROR(__xludf.DUMMYFUNCTION("""COMPUTED_VALUE"""),"Техрейс")</f>
        <v>Техрейс</v>
      </c>
      <c r="C213" t="str">
        <f ca="1">IFERROR(__xludf.DUMMYFUNCTION("""COMPUTED_VALUE"""),"ФМС груп")</f>
        <v>ФМС груп</v>
      </c>
      <c r="D213">
        <f ca="1">IFERROR(__xludf.DUMMYFUNCTION("""COMPUTED_VALUE"""),64226632)</f>
        <v>64226632</v>
      </c>
      <c r="E213" t="str">
        <f ca="1">IFERROR(__xludf.DUMMYFUNCTION("""COMPUTED_VALUE"""),"60 ПОЛУВАГОНЫ")</f>
        <v>60 ПОЛУВАГОНЫ</v>
      </c>
      <c r="F213">
        <f ca="1">IFERROR(__xludf.DUMMYFUNCTION("""COMPUTED_VALUE"""),42103)</f>
        <v>42103</v>
      </c>
      <c r="G213" t="str">
        <f ca="1">IFERROR(__xludf.DUMMYFUNCTION("""COMPUTED_VALUE"""),"ВАГОНЫ ЖД СВ")</f>
        <v>ВАГОНЫ ЖД СВ</v>
      </c>
      <c r="H213">
        <f ca="1">IFERROR(__xludf.DUMMYFUNCTION("""COMPUTED_VALUE"""),0)</f>
        <v>0</v>
      </c>
      <c r="I213">
        <f ca="1">IFERROR(__xludf.DUMMYFUNCTION("""COMPUTED_VALUE"""),4305)</f>
        <v>4305</v>
      </c>
      <c r="J213" t="str">
        <f ca="1">IFERROR(__xludf.DUMMYFUNCTION("""COMPUTED_VALUE"""),"2630 (41000-533-42500) ЗНАМЕНКА - КРЕМЕНЧУГ")</f>
        <v>2630 (41000-533-42500) ЗНАМЕНКА - КРЕМЕНЧУГ</v>
      </c>
      <c r="K213">
        <f ca="1">IFERROR(__xludf.DUMMYFUNCTION("""COMPUTED_VALUE"""),42500)</f>
        <v>42500</v>
      </c>
      <c r="L213" t="str">
        <f ca="1">IFERROR(__xludf.DUMMYFUNCTION("""COMPUTED_VALUE"""),"КРЕМЕНЧУГ")</f>
        <v>КРЕМЕНЧУГ</v>
      </c>
      <c r="M213" t="str">
        <f ca="1">IFERROR(__xludf.DUMMYFUNCTION("""COMPUTED_VALUE"""),"12.08.21 02-35")</f>
        <v>12.08.21 02-35</v>
      </c>
      <c r="N213" t="str">
        <f ca="1">IFERROR(__xludf.DUMMYFUNCTION("""COMPUTED_VALUE"""),"01 ПРИБ")</f>
        <v>01 ПРИБ</v>
      </c>
      <c r="O213">
        <f ca="1">IFERROR(__xludf.DUMMYFUNCTION("""COMPUTED_VALUE"""),42500)</f>
        <v>42500</v>
      </c>
      <c r="P213" t="str">
        <f ca="1">IFERROR(__xludf.DUMMYFUNCTION("""COMPUTED_VALUE"""),"КРЕМЕНЧУГ")</f>
        <v>КРЕМЕНЧУГ</v>
      </c>
      <c r="Q213">
        <f ca="1">IFERROR(__xludf.DUMMYFUNCTION("""COMPUTED_VALUE"""),42420)</f>
        <v>42420</v>
      </c>
      <c r="R213" t="str">
        <f ca="1">IFERROR(__xludf.DUMMYFUNCTION("""COMPUTED_VALUE"""),"ЧЕРКАССЫ")</f>
        <v>ЧЕРКАССЫ</v>
      </c>
      <c r="S213" t="str">
        <f ca="1">IFERROR(__xludf.DUMMYFUNCTION("""COMPUTED_VALUE"""),"09.08.21 07-30")</f>
        <v>09.08.21 07-30</v>
      </c>
      <c r="T213">
        <f ca="1">IFERROR(__xludf.DUMMYFUNCTION("""COMPUTED_VALUE"""),8200)</f>
        <v>8200</v>
      </c>
      <c r="U213" t="str">
        <f ca="1">IFERROR(__xludf.DUMMYFUNCTION("""COMPUTED_VALUE"""),"02.12.2022 ДР")</f>
        <v>02.12.2022 ДР</v>
      </c>
      <c r="Z213" t="str">
        <f ca="1">IFERROR(__xludf.DUMMYFUNCTION("""COMPUTED_VALUE"""),"ООО ""Ф.М.С. групп""")</f>
        <v>ООО "Ф.М.С. групп"</v>
      </c>
      <c r="AA213" t="str">
        <f ca="1">IFERROR(__xludf.DUMMYFUNCTION("""COMPUTED_VALUE"""),"12-783")</f>
        <v>12-783</v>
      </c>
      <c r="AI213" s="21">
        <f ca="1">IFERROR(__xludf.DUMMYFUNCTION("""COMPUTED_VALUE"""),44420.3576736111)</f>
        <v>44420.357673611099</v>
      </c>
    </row>
    <row r="214" spans="1:35" ht="13" x14ac:dyDescent="0.15">
      <c r="A214">
        <f ca="1">IFERROR(__xludf.DUMMYFUNCTION("""COMPUTED_VALUE"""),796)</f>
        <v>796</v>
      </c>
      <c r="B214" t="str">
        <f ca="1">IFERROR(__xludf.DUMMYFUNCTION("""COMPUTED_VALUE"""),"Техрейс")</f>
        <v>Техрейс</v>
      </c>
      <c r="C214" t="str">
        <f ca="1">IFERROR(__xludf.DUMMYFUNCTION("""COMPUTED_VALUE"""),"ФМС груп")</f>
        <v>ФМС груп</v>
      </c>
      <c r="D214">
        <f ca="1">IFERROR(__xludf.DUMMYFUNCTION("""COMPUTED_VALUE"""),64226616)</f>
        <v>64226616</v>
      </c>
      <c r="E214" t="str">
        <f ca="1">IFERROR(__xludf.DUMMYFUNCTION("""COMPUTED_VALUE"""),"60 ПОЛУВАГОНЫ")</f>
        <v>60 ПОЛУВАГОНЫ</v>
      </c>
      <c r="F214">
        <f ca="1">IFERROR(__xludf.DUMMYFUNCTION("""COMPUTED_VALUE"""),29101)</f>
        <v>29101</v>
      </c>
      <c r="G214" t="str">
        <f ca="1">IFERROR(__xludf.DUMMYFUNCTION("""COMPUTED_VALUE"""),"ДОЛОМИТ Д/СТЕК")</f>
        <v>ДОЛОМИТ Д/СТЕК</v>
      </c>
      <c r="H214">
        <f ca="1">IFERROR(__xludf.DUMMYFUNCTION("""COMPUTED_VALUE"""),70)</f>
        <v>70</v>
      </c>
      <c r="I214">
        <f ca="1">IFERROR(__xludf.DUMMYFUNCTION("""COMPUTED_VALUE"""),2421)</f>
        <v>2421</v>
      </c>
      <c r="J214" t="str">
        <f ca="1">IFERROR(__xludf.DUMMYFUNCTION("""COMPUTED_VALUE"""),"2238 (33000-396-32000) ЖМЕРИНКА - ДАРНИЦА")</f>
        <v>2238 (33000-396-32000) ЖМЕРИНКА - ДАРНИЦА</v>
      </c>
      <c r="K214">
        <f ca="1">IFERROR(__xludf.DUMMYFUNCTION("""COMPUTED_VALUE"""),33580)</f>
        <v>33580</v>
      </c>
      <c r="L214" t="str">
        <f ca="1">IFERROR(__xludf.DUMMYFUNCTION("""COMPUTED_VALUE"""),"ВИННИЦА")</f>
        <v>ВИННИЦА</v>
      </c>
      <c r="M214" t="str">
        <f ca="1">IFERROR(__xludf.DUMMYFUNCTION("""COMPUTED_VALUE"""),"11.08.21 14-58")</f>
        <v>11.08.21 14-58</v>
      </c>
      <c r="N214" t="str">
        <f ca="1">IFERROR(__xludf.DUMMYFUNCTION("""COMPUTED_VALUE"""),"01 ПРИБ")</f>
        <v>01 ПРИБ</v>
      </c>
      <c r="O214">
        <f ca="1">IFERROR(__xludf.DUMMYFUNCTION("""COMPUTED_VALUE"""),32210)</f>
        <v>32210</v>
      </c>
      <c r="P214" t="str">
        <f ca="1">IFERROR(__xludf.DUMMYFUNCTION("""COMPUTED_VALUE"""),"БУЧА")</f>
        <v>БУЧА</v>
      </c>
      <c r="Q214">
        <f ca="1">IFERROR(__xludf.DUMMYFUNCTION("""COMPUTED_VALUE"""),36440)</f>
        <v>36440</v>
      </c>
      <c r="R214" t="str">
        <f ca="1">IFERROR(__xludf.DUMMYFUNCTION("""COMPUTED_VALUE"""),"БУЧАЧ")</f>
        <v>БУЧАЧ</v>
      </c>
      <c r="S214" t="str">
        <f ca="1">IFERROR(__xludf.DUMMYFUNCTION("""COMPUTED_VALUE"""),"01.08.21 17-05")</f>
        <v>01.08.21 17-05</v>
      </c>
      <c r="T214">
        <f ca="1">IFERROR(__xludf.DUMMYFUNCTION("""COMPUTED_VALUE"""),1641)</f>
        <v>1641</v>
      </c>
      <c r="U214" t="str">
        <f ca="1">IFERROR(__xludf.DUMMYFUNCTION("""COMPUTED_VALUE"""),"02.12.2022 ДР")</f>
        <v>02.12.2022 ДР</v>
      </c>
      <c r="Z214" t="str">
        <f ca="1">IFERROR(__xludf.DUMMYFUNCTION("""COMPUTED_VALUE"""),"ООО ""Ф.М.С. групп""")</f>
        <v>ООО "Ф.М.С. групп"</v>
      </c>
      <c r="AA214" t="str">
        <f ca="1">IFERROR(__xludf.DUMMYFUNCTION("""COMPUTED_VALUE"""),"12-783")</f>
        <v>12-783</v>
      </c>
      <c r="AI214" s="21">
        <f ca="1">IFERROR(__xludf.DUMMYFUNCTION("""COMPUTED_VALUE"""),44420.3576736111)</f>
        <v>44420.357673611099</v>
      </c>
    </row>
    <row r="215" spans="1:35" ht="13" x14ac:dyDescent="0.15">
      <c r="A215">
        <f ca="1">IFERROR(__xludf.DUMMYFUNCTION("""COMPUTED_VALUE"""),797)</f>
        <v>797</v>
      </c>
      <c r="B215" t="str">
        <f ca="1">IFERROR(__xludf.DUMMYFUNCTION("""COMPUTED_VALUE"""),"Лидер")</f>
        <v>Лидер</v>
      </c>
      <c r="C215" t="str">
        <f ca="1">IFERROR(__xludf.DUMMYFUNCTION("""COMPUTED_VALUE"""),"ФМС груп")</f>
        <v>ФМС груп</v>
      </c>
      <c r="D215">
        <f ca="1">IFERROR(__xludf.DUMMYFUNCTION("""COMPUTED_VALUE"""),64226608)</f>
        <v>64226608</v>
      </c>
      <c r="E215" t="str">
        <f ca="1">IFERROR(__xludf.DUMMYFUNCTION("""COMPUTED_VALUE"""),"60 ПОЛУВАГОНЫ")</f>
        <v>60 ПОЛУВАГОНЫ</v>
      </c>
      <c r="F215">
        <f ca="1">IFERROR(__xludf.DUMMYFUNCTION("""COMPUTED_VALUE"""),42103)</f>
        <v>42103</v>
      </c>
      <c r="G215" t="str">
        <f ca="1">IFERROR(__xludf.DUMMYFUNCTION("""COMPUTED_VALUE"""),"ВАГОНЫ ЖД СВ")</f>
        <v>ВАГОНЫ ЖД СВ</v>
      </c>
      <c r="H215">
        <f ca="1">IFERROR(__xludf.DUMMYFUNCTION("""COMPUTED_VALUE"""),0)</f>
        <v>0</v>
      </c>
      <c r="I215">
        <f ca="1">IFERROR(__xludf.DUMMYFUNCTION("""COMPUTED_VALUE"""),7052)</f>
        <v>7052</v>
      </c>
      <c r="J215" t="str">
        <f ca="1">IFERROR(__xludf.DUMMYFUNCTION("""COMPUTED_VALUE"""),"2001 (35000-189-34000) ЗДОЛБУНОВ - ШЕПЕТОВКА")</f>
        <v>2001 (35000-189-34000) ЗДОЛБУНОВ - ШЕПЕТОВКА</v>
      </c>
      <c r="K215">
        <f ca="1">IFERROR(__xludf.DUMMYFUNCTION("""COMPUTED_VALUE"""),35000)</f>
        <v>35000</v>
      </c>
      <c r="L215" t="str">
        <f ca="1">IFERROR(__xludf.DUMMYFUNCTION("""COMPUTED_VALUE"""),"ЗДОЛБУНОВ")</f>
        <v>ЗДОЛБУНОВ</v>
      </c>
      <c r="M215" t="str">
        <f ca="1">IFERROR(__xludf.DUMMYFUNCTION("""COMPUTED_VALUE"""),"12.08.21 02-00")</f>
        <v>12.08.21 02-00</v>
      </c>
      <c r="N215" t="str">
        <f ca="1">IFERROR(__xludf.DUMMYFUNCTION("""COMPUTED_VALUE"""),"05 ФОРМ")</f>
        <v>05 ФОРМ</v>
      </c>
      <c r="O215">
        <f ca="1">IFERROR(__xludf.DUMMYFUNCTION("""COMPUTED_VALUE"""),34850)</f>
        <v>34850</v>
      </c>
      <c r="P215" t="str">
        <f ca="1">IFERROR(__xludf.DUMMYFUNCTION("""COMPUTED_VALUE"""),"УШИЦА")</f>
        <v>УШИЦА</v>
      </c>
      <c r="Q215">
        <f ca="1">IFERROR(__xludf.DUMMYFUNCTION("""COMPUTED_VALUE"""),36240)</f>
        <v>36240</v>
      </c>
      <c r="R215" t="str">
        <f ca="1">IFERROR(__xludf.DUMMYFUNCTION("""COMPUTED_VALUE"""),"КОЗОВА")</f>
        <v>КОЗОВА</v>
      </c>
      <c r="S215" t="str">
        <f ca="1">IFERROR(__xludf.DUMMYFUNCTION("""COMPUTED_VALUE"""),"08.08.21 08-05")</f>
        <v>08.08.21 08-05</v>
      </c>
      <c r="T215">
        <f ca="1">IFERROR(__xludf.DUMMYFUNCTION("""COMPUTED_VALUE"""),5133)</f>
        <v>5133</v>
      </c>
      <c r="U215" t="str">
        <f ca="1">IFERROR(__xludf.DUMMYFUNCTION("""COMPUTED_VALUE"""),"02.12.2022 ДР")</f>
        <v>02.12.2022 ДР</v>
      </c>
      <c r="Z215" t="str">
        <f ca="1">IFERROR(__xludf.DUMMYFUNCTION("""COMPUTED_VALUE"""),"ООО ""Ф.М.С. групп""")</f>
        <v>ООО "Ф.М.С. групп"</v>
      </c>
      <c r="AA215" t="str">
        <f ca="1">IFERROR(__xludf.DUMMYFUNCTION("""COMPUTED_VALUE"""),"12-783")</f>
        <v>12-783</v>
      </c>
      <c r="AI215" s="21">
        <f ca="1">IFERROR(__xludf.DUMMYFUNCTION("""COMPUTED_VALUE"""),44420.3576736111)</f>
        <v>44420.357673611099</v>
      </c>
    </row>
    <row r="216" spans="1:35" ht="13" x14ac:dyDescent="0.15">
      <c r="A216">
        <f ca="1">IFERROR(__xludf.DUMMYFUNCTION("""COMPUTED_VALUE"""),798)</f>
        <v>798</v>
      </c>
      <c r="B216" t="str">
        <f ca="1">IFERROR(__xludf.DUMMYFUNCTION("""COMPUTED_VALUE"""),"Подольский цемент")</f>
        <v>Подольский цемент</v>
      </c>
      <c r="C216" t="str">
        <f ca="1">IFERROR(__xludf.DUMMYFUNCTION("""COMPUTED_VALUE"""),"ФМС груп")</f>
        <v>ФМС груп</v>
      </c>
      <c r="D216">
        <f ca="1">IFERROR(__xludf.DUMMYFUNCTION("""COMPUTED_VALUE"""),62976212)</f>
        <v>62976212</v>
      </c>
      <c r="E216" t="str">
        <f ca="1">IFERROR(__xludf.DUMMYFUNCTION("""COMPUTED_VALUE"""),"60 ПОЛУВАГОНЫ")</f>
        <v>60 ПОЛУВАГОНЫ</v>
      </c>
      <c r="F216">
        <f ca="1">IFERROR(__xludf.DUMMYFUNCTION("""COMPUTED_VALUE"""),42103)</f>
        <v>42103</v>
      </c>
      <c r="G216" t="str">
        <f ca="1">IFERROR(__xludf.DUMMYFUNCTION("""COMPUTED_VALUE"""),"ВАГОНЫ ЖД СВ")</f>
        <v>ВАГОНЫ ЖД СВ</v>
      </c>
      <c r="H216">
        <f ca="1">IFERROR(__xludf.DUMMYFUNCTION("""COMPUTED_VALUE"""),0)</f>
        <v>0</v>
      </c>
      <c r="I216">
        <f ca="1">IFERROR(__xludf.DUMMYFUNCTION("""COMPUTED_VALUE"""),5268)</f>
        <v>5268</v>
      </c>
      <c r="J216" t="str">
        <f ca="1">IFERROR(__xludf.DUMMYFUNCTION("""COMPUTED_VALUE"""),"9511 (33300-056-37780) ГУМЕНЦЫ - НИКОЛАЕВ-ДН")</f>
        <v>9511 (33300-056-37780) ГУМЕНЦЫ - НИКОЛАЕВ-ДН</v>
      </c>
      <c r="K216">
        <f ca="1">IFERROR(__xludf.DUMMYFUNCTION("""COMPUTED_VALUE"""),37780)</f>
        <v>37780</v>
      </c>
      <c r="L216" t="str">
        <f ca="1">IFERROR(__xludf.DUMMYFUNCTION("""COMPUTED_VALUE"""),"НИКОЛАЕВ-ДН")</f>
        <v>НИКОЛАЕВ-ДН</v>
      </c>
      <c r="M216" t="str">
        <f ca="1">IFERROR(__xludf.DUMMYFUNCTION("""COMPUTED_VALUE"""),"10.08.21 09-00")</f>
        <v>10.08.21 09-00</v>
      </c>
      <c r="N216" t="str">
        <f ca="1">IFERROR(__xludf.DUMMYFUNCTION("""COMPUTED_VALUE"""),"91 ПРДР")</f>
        <v>91 ПРДР</v>
      </c>
      <c r="O216">
        <f ca="1">IFERROR(__xludf.DUMMYFUNCTION("""COMPUTED_VALUE"""),33300)</f>
        <v>33300</v>
      </c>
      <c r="P216" t="str">
        <f ca="1">IFERROR(__xludf.DUMMYFUNCTION("""COMPUTED_VALUE"""),"ГУМЕНЦЫ")</f>
        <v>ГУМЕНЦЫ</v>
      </c>
      <c r="Q216">
        <f ca="1">IFERROR(__xludf.DUMMYFUNCTION("""COMPUTED_VALUE"""),37780)</f>
        <v>37780</v>
      </c>
      <c r="R216" t="str">
        <f ca="1">IFERROR(__xludf.DUMMYFUNCTION("""COMPUTED_VALUE"""),"НИКОЛАЕВ-ДН")</f>
        <v>НИКОЛАЕВ-ДН</v>
      </c>
      <c r="S216" t="str">
        <f ca="1">IFERROR(__xludf.DUMMYFUNCTION("""COMPUTED_VALUE"""),"10.08.21 09-00")</f>
        <v>10.08.21 09-00</v>
      </c>
      <c r="T216">
        <f ca="1">IFERROR(__xludf.DUMMYFUNCTION("""COMPUTED_VALUE"""),1489)</f>
        <v>1489</v>
      </c>
      <c r="U216" t="str">
        <f ca="1">IFERROR(__xludf.DUMMYFUNCTION("""COMPUTED_VALUE"""),"16.02.2023 ДР")</f>
        <v>16.02.2023 ДР</v>
      </c>
      <c r="Z216" t="str">
        <f ca="1">IFERROR(__xludf.DUMMYFUNCTION("""COMPUTED_VALUE"""),"ООО ""Ф.М.С. групп""")</f>
        <v>ООО "Ф.М.С. групп"</v>
      </c>
      <c r="AA216" t="str">
        <f ca="1">IFERROR(__xludf.DUMMYFUNCTION("""COMPUTED_VALUE"""),"12-783")</f>
        <v>12-783</v>
      </c>
      <c r="AB216" t="str">
        <f ca="1">IFERROR(__xludf.DUMMYFUNCTION("""COMPUTED_VALUE"""),"43 ЮЖН")</f>
        <v>43 ЮЖН</v>
      </c>
      <c r="AC216" t="str">
        <f ca="1">IFERROR(__xludf.DUMMYFUNCTION("""COMPUTED_VALUE"""),"43000 КУПЯНСК-СОРТ")</f>
        <v>43000 КУПЯНСК-СОРТ</v>
      </c>
      <c r="AD216" t="str">
        <f ca="1">IFERROR(__xludf.DUMMYFUNCTION("""COMPUTED_VALUE"""),"11.02.20 20-05")</f>
        <v>11.02.20 20-05</v>
      </c>
      <c r="AE216" t="str">
        <f ca="1">IFERROR(__xludf.DUMMYFUNCTION("""COMPUTED_VALUE"""),"570 ИCТEК КAЛЕНДАРНЫЙ CPOК ДEПOВCКОГО PEМOНТA")</f>
        <v>570 ИCТEК КAЛЕНДАРНЫЙ CPOК ДEПOВCКОГО PEМOНТA</v>
      </c>
      <c r="AF216" t="str">
        <f ca="1">IFERROR(__xludf.DUMMYFUNCTION("""COMPUTED_VALUE"""),"43 ЮЖН")</f>
        <v>43 ЮЖН</v>
      </c>
      <c r="AG216" t="str">
        <f ca="1">IFERROR(__xludf.DUMMYFUNCTION("""COMPUTED_VALUE"""),"43000 КУПЯНСК-СОРТ")</f>
        <v>43000 КУПЯНСК-СОРТ</v>
      </c>
      <c r="AH216" t="str">
        <f ca="1">IFERROR(__xludf.DUMMYFUNCTION("""COMPUTED_VALUE"""),"16.02.20 08-30")</f>
        <v>16.02.20 08-30</v>
      </c>
      <c r="AI216" s="21">
        <f ca="1">IFERROR(__xludf.DUMMYFUNCTION("""COMPUTED_VALUE"""),44420.3576736111)</f>
        <v>44420.357673611099</v>
      </c>
    </row>
    <row r="217" spans="1:35" ht="13" x14ac:dyDescent="0.15">
      <c r="A217">
        <f ca="1">IFERROR(__xludf.DUMMYFUNCTION("""COMPUTED_VALUE"""),799)</f>
        <v>799</v>
      </c>
      <c r="B217" t="str">
        <f ca="1">IFERROR(__xludf.DUMMYFUNCTION("""COMPUTED_VALUE"""),"Техрейс")</f>
        <v>Техрейс</v>
      </c>
      <c r="C217" t="str">
        <f ca="1">IFERROR(__xludf.DUMMYFUNCTION("""COMPUTED_VALUE"""),"ФМС груп")</f>
        <v>ФМС груп</v>
      </c>
      <c r="D217">
        <f ca="1">IFERROR(__xludf.DUMMYFUNCTION("""COMPUTED_VALUE"""),63068548)</f>
        <v>63068548</v>
      </c>
      <c r="E217" t="str">
        <f ca="1">IFERROR(__xludf.DUMMYFUNCTION("""COMPUTED_VALUE"""),"60 ПОЛУВАГОНЫ")</f>
        <v>60 ПОЛУВАГОНЫ</v>
      </c>
      <c r="F217">
        <f ca="1">IFERROR(__xludf.DUMMYFUNCTION("""COMPUTED_VALUE"""),42103)</f>
        <v>42103</v>
      </c>
      <c r="G217" t="str">
        <f ca="1">IFERROR(__xludf.DUMMYFUNCTION("""COMPUTED_VALUE"""),"ВАГОНЫ ЖД СВ")</f>
        <v>ВАГОНЫ ЖД СВ</v>
      </c>
      <c r="H217">
        <f ca="1">IFERROR(__xludf.DUMMYFUNCTION("""COMPUTED_VALUE"""),0)</f>
        <v>0</v>
      </c>
      <c r="I217">
        <f ca="1">IFERROR(__xludf.DUMMYFUNCTION("""COMPUTED_VALUE"""),4305)</f>
        <v>4305</v>
      </c>
      <c r="J217" t="str">
        <f ca="1">IFERROR(__xludf.DUMMYFUNCTION("""COMPUTED_VALUE"""),"2630 (41000-533-42500) ЗНАМЕНКА - КРЕМЕНЧУГ")</f>
        <v>2630 (41000-533-42500) ЗНАМЕНКА - КРЕМЕНЧУГ</v>
      </c>
      <c r="K217">
        <f ca="1">IFERROR(__xludf.DUMMYFUNCTION("""COMPUTED_VALUE"""),42500)</f>
        <v>42500</v>
      </c>
      <c r="L217" t="str">
        <f ca="1">IFERROR(__xludf.DUMMYFUNCTION("""COMPUTED_VALUE"""),"КРЕМЕНЧУГ")</f>
        <v>КРЕМЕНЧУГ</v>
      </c>
      <c r="M217" t="str">
        <f ca="1">IFERROR(__xludf.DUMMYFUNCTION("""COMPUTED_VALUE"""),"12.08.21 02-35")</f>
        <v>12.08.21 02-35</v>
      </c>
      <c r="N217" t="str">
        <f ca="1">IFERROR(__xludf.DUMMYFUNCTION("""COMPUTED_VALUE"""),"01 ПРИБ")</f>
        <v>01 ПРИБ</v>
      </c>
      <c r="O217">
        <f ca="1">IFERROR(__xludf.DUMMYFUNCTION("""COMPUTED_VALUE"""),42500)</f>
        <v>42500</v>
      </c>
      <c r="P217" t="str">
        <f ca="1">IFERROR(__xludf.DUMMYFUNCTION("""COMPUTED_VALUE"""),"КРЕМЕНЧУГ")</f>
        <v>КРЕМЕНЧУГ</v>
      </c>
      <c r="Q217">
        <f ca="1">IFERROR(__xludf.DUMMYFUNCTION("""COMPUTED_VALUE"""),42420)</f>
        <v>42420</v>
      </c>
      <c r="R217" t="str">
        <f ca="1">IFERROR(__xludf.DUMMYFUNCTION("""COMPUTED_VALUE"""),"ЧЕРКАССЫ")</f>
        <v>ЧЕРКАССЫ</v>
      </c>
      <c r="S217" t="str">
        <f ca="1">IFERROR(__xludf.DUMMYFUNCTION("""COMPUTED_VALUE"""),"09.08.21 07-30")</f>
        <v>09.08.21 07-30</v>
      </c>
      <c r="T217">
        <f ca="1">IFERROR(__xludf.DUMMYFUNCTION("""COMPUTED_VALUE"""),8200)</f>
        <v>8200</v>
      </c>
      <c r="U217" t="str">
        <f ca="1">IFERROR(__xludf.DUMMYFUNCTION("""COMPUTED_VALUE"""),"03.11.2021 ДР")</f>
        <v>03.11.2021 ДР</v>
      </c>
      <c r="Z217" t="str">
        <f ca="1">IFERROR(__xludf.DUMMYFUNCTION("""COMPUTED_VALUE"""),"ООО ""Ф.М.С. групп""")</f>
        <v>ООО "Ф.М.С. групп"</v>
      </c>
      <c r="AA217" t="str">
        <f ca="1">IFERROR(__xludf.DUMMYFUNCTION("""COMPUTED_VALUE"""),"12-783")</f>
        <v>12-783</v>
      </c>
      <c r="AB217" t="str">
        <f ca="1">IFERROR(__xludf.DUMMYFUNCTION("""COMPUTED_VALUE"""),"48 ДОН")</f>
        <v>48 ДОН</v>
      </c>
      <c r="AC217" t="str">
        <f ca="1">IFERROR(__xludf.DUMMYFUNCTION("""COMPUTED_VALUE"""),"49000 ЛИМАН")</f>
        <v>49000 ЛИМАН</v>
      </c>
      <c r="AD217" t="str">
        <f ca="1">IFERROR(__xludf.DUMMYFUNCTION("""COMPUTED_VALUE"""),"04.02.21 18-05")</f>
        <v>04.02.21 18-05</v>
      </c>
      <c r="AE217" t="str">
        <f ca="1">IFERROR(__xludf.DUMMYFUNCTION("""COMPUTED_VALUE"""),"445 ЗAВAP БAШМAКA")</f>
        <v>445 ЗAВAP БAШМAКA</v>
      </c>
      <c r="AF217" t="str">
        <f ca="1">IFERROR(__xludf.DUMMYFUNCTION("""COMPUTED_VALUE"""),"48 ДОН")</f>
        <v>48 ДОН</v>
      </c>
      <c r="AG217" t="str">
        <f ca="1">IFERROR(__xludf.DUMMYFUNCTION("""COMPUTED_VALUE"""),"49000 ЛИМАН")</f>
        <v>49000 ЛИМАН</v>
      </c>
      <c r="AH217" t="str">
        <f ca="1">IFERROR(__xludf.DUMMYFUNCTION("""COMPUTED_VALUE"""),"05.02.21 17-00")</f>
        <v>05.02.21 17-00</v>
      </c>
      <c r="AI217" s="21">
        <f ca="1">IFERROR(__xludf.DUMMYFUNCTION("""COMPUTED_VALUE"""),44420.3576736111)</f>
        <v>44420.357673611099</v>
      </c>
    </row>
    <row r="218" spans="1:35" ht="13" x14ac:dyDescent="0.15">
      <c r="A218">
        <f ca="1">IFERROR(__xludf.DUMMYFUNCTION("""COMPUTED_VALUE"""),800)</f>
        <v>800</v>
      </c>
      <c r="B218" t="str">
        <f ca="1">IFERROR(__xludf.DUMMYFUNCTION("""COMPUTED_VALUE"""),"Техрейс")</f>
        <v>Техрейс</v>
      </c>
      <c r="C218" t="str">
        <f ca="1">IFERROR(__xludf.DUMMYFUNCTION("""COMPUTED_VALUE"""),"ФМС груп")</f>
        <v>ФМС груп</v>
      </c>
      <c r="D218">
        <f ca="1">IFERROR(__xludf.DUMMYFUNCTION("""COMPUTED_VALUE"""),62976287)</f>
        <v>62976287</v>
      </c>
      <c r="E218" t="str">
        <f ca="1">IFERROR(__xludf.DUMMYFUNCTION("""COMPUTED_VALUE"""),"60 ПОЛУВАГОНЫ")</f>
        <v>60 ПОЛУВАГОНЫ</v>
      </c>
      <c r="F218">
        <f ca="1">IFERROR(__xludf.DUMMYFUNCTION("""COMPUTED_VALUE"""),42103)</f>
        <v>42103</v>
      </c>
      <c r="G218" t="str">
        <f ca="1">IFERROR(__xludf.DUMMYFUNCTION("""COMPUTED_VALUE"""),"ВАГОНЫ ЖД СВ")</f>
        <v>ВАГОНЫ ЖД СВ</v>
      </c>
      <c r="H218">
        <f ca="1">IFERROR(__xludf.DUMMYFUNCTION("""COMPUTED_VALUE"""),0)</f>
        <v>0</v>
      </c>
      <c r="I218">
        <f ca="1">IFERROR(__xludf.DUMMYFUNCTION("""COMPUTED_VALUE"""),5343)</f>
        <v>5343</v>
      </c>
      <c r="J218" t="str">
        <f ca="1">IFERROR(__xludf.DUMMYFUNCTION("""COMPUTED_VALUE"""),"3501 (46720-470-40060) КРИВОЙ РОГ - БЕРЕГОВАЯ-Э")</f>
        <v>3501 (46720-470-40060) КРИВОЙ РОГ - БЕРЕГОВАЯ-Э</v>
      </c>
      <c r="K218">
        <f ca="1">IFERROR(__xludf.DUMMYFUNCTION("""COMPUTED_VALUE"""),46720)</f>
        <v>46720</v>
      </c>
      <c r="L218" t="str">
        <f ca="1">IFERROR(__xludf.DUMMYFUNCTION("""COMPUTED_VALUE"""),"КРИВОЙ РОГ")</f>
        <v>КРИВОЙ РОГ</v>
      </c>
      <c r="M218" t="str">
        <f ca="1">IFERROR(__xludf.DUMMYFUNCTION("""COMPUTED_VALUE"""),"12.08.21 03-45")</f>
        <v>12.08.21 03-45</v>
      </c>
      <c r="N218" t="str">
        <f ca="1">IFERROR(__xludf.DUMMYFUNCTION("""COMPUTED_VALUE"""),"98 ОТОТ")</f>
        <v>98 ОТОТ</v>
      </c>
      <c r="O218">
        <f ca="1">IFERROR(__xludf.DUMMYFUNCTION("""COMPUTED_VALUE"""),46720)</f>
        <v>46720</v>
      </c>
      <c r="P218" t="str">
        <f ca="1">IFERROR(__xludf.DUMMYFUNCTION("""COMPUTED_VALUE"""),"КРИВОЙ РОГ")</f>
        <v>КРИВОЙ РОГ</v>
      </c>
      <c r="Q218">
        <f ca="1">IFERROR(__xludf.DUMMYFUNCTION("""COMPUTED_VALUE"""),40050)</f>
        <v>40050</v>
      </c>
      <c r="R218" t="str">
        <f ca="1">IFERROR(__xludf.DUMMYFUNCTION("""COMPUTED_VALUE"""),"БЕРЕГОВАЯ")</f>
        <v>БЕРЕГОВАЯ</v>
      </c>
      <c r="S218" t="str">
        <f ca="1">IFERROR(__xludf.DUMMYFUNCTION("""COMPUTED_VALUE"""),"10.08.21 22-42")</f>
        <v>10.08.21 22-42</v>
      </c>
      <c r="T218">
        <f ca="1">IFERROR(__xludf.DUMMYFUNCTION("""COMPUTED_VALUE"""),8200)</f>
        <v>8200</v>
      </c>
      <c r="U218" t="str">
        <f ca="1">IFERROR(__xludf.DUMMYFUNCTION("""COMPUTED_VALUE"""),"26.02.2023 ДР")</f>
        <v>26.02.2023 ДР</v>
      </c>
      <c r="Z218" t="str">
        <f ca="1">IFERROR(__xludf.DUMMYFUNCTION("""COMPUTED_VALUE"""),"ООО ""Ф.М.С. групп""")</f>
        <v>ООО "Ф.М.С. групп"</v>
      </c>
      <c r="AA218" t="str">
        <f ca="1">IFERROR(__xludf.DUMMYFUNCTION("""COMPUTED_VALUE"""),"12-783")</f>
        <v>12-783</v>
      </c>
      <c r="AB218" t="str">
        <f ca="1">IFERROR(__xludf.DUMMYFUNCTION("""COMPUTED_VALUE"""),"35 ЛЬВ")</f>
        <v>35 ЛЬВ</v>
      </c>
      <c r="AC218" t="str">
        <f ca="1">IFERROR(__xludf.DUMMYFUNCTION("""COMPUTED_VALUE"""),"35400 КОВЕЛЬ")</f>
        <v>35400 КОВЕЛЬ</v>
      </c>
      <c r="AD218" t="str">
        <f ca="1">IFERROR(__xludf.DUMMYFUNCTION("""COMPUTED_VALUE"""),"27.04.21 00-15")</f>
        <v>27.04.21 00-15</v>
      </c>
      <c r="AE218" t="str">
        <f ca="1">IFERROR(__xludf.DUMMYFUNCTION("""COMPUTED_VALUE"""),"380 ТPEЩИНА ЦEНТPИPУЮЩEЙ БAЛКИ")</f>
        <v>380 ТPEЩИНА ЦEНТPИPУЮЩEЙ БAЛКИ</v>
      </c>
      <c r="AF218" t="str">
        <f ca="1">IFERROR(__xludf.DUMMYFUNCTION("""COMPUTED_VALUE"""),"35 ЛЬВ")</f>
        <v>35 ЛЬВ</v>
      </c>
      <c r="AG218" t="str">
        <f ca="1">IFERROR(__xludf.DUMMYFUNCTION("""COMPUTED_VALUE"""),"35400 КОВЕЛЬ")</f>
        <v>35400 КОВЕЛЬ</v>
      </c>
      <c r="AH218" t="str">
        <f ca="1">IFERROR(__xludf.DUMMYFUNCTION("""COMPUTED_VALUE"""),"01.05.21 15-30")</f>
        <v>01.05.21 15-30</v>
      </c>
      <c r="AI218" s="21">
        <f ca="1">IFERROR(__xludf.DUMMYFUNCTION("""COMPUTED_VALUE"""),44420.3576736111)</f>
        <v>44420.357673611099</v>
      </c>
    </row>
    <row r="219" spans="1:35" ht="13" x14ac:dyDescent="0.15">
      <c r="A219">
        <f ca="1">IFERROR(__xludf.DUMMYFUNCTION("""COMPUTED_VALUE"""),801)</f>
        <v>801</v>
      </c>
      <c r="B219" t="str">
        <f ca="1">IFERROR(__xludf.DUMMYFUNCTION("""COMPUTED_VALUE"""),"Техрейс")</f>
        <v>Техрейс</v>
      </c>
      <c r="C219" t="str">
        <f ca="1">IFERROR(__xludf.DUMMYFUNCTION("""COMPUTED_VALUE"""),"ФМС груп")</f>
        <v>ФМС груп</v>
      </c>
      <c r="D219">
        <f ca="1">IFERROR(__xludf.DUMMYFUNCTION("""COMPUTED_VALUE"""),63041446)</f>
        <v>63041446</v>
      </c>
      <c r="E219" t="str">
        <f ca="1">IFERROR(__xludf.DUMMYFUNCTION("""COMPUTED_VALUE"""),"60 ПОЛУВАГОНЫ")</f>
        <v>60 ПОЛУВАГОНЫ</v>
      </c>
      <c r="F219">
        <f ca="1">IFERROR(__xludf.DUMMYFUNCTION("""COMPUTED_VALUE"""),29101)</f>
        <v>29101</v>
      </c>
      <c r="G219" t="str">
        <f ca="1">IFERROR(__xludf.DUMMYFUNCTION("""COMPUTED_VALUE"""),"ДОЛОМИТ Д/СТЕК")</f>
        <v>ДОЛОМИТ Д/СТЕК</v>
      </c>
      <c r="H219">
        <f ca="1">IFERROR(__xludf.DUMMYFUNCTION("""COMPUTED_VALUE"""),70)</f>
        <v>70</v>
      </c>
      <c r="I219">
        <f ca="1">IFERROR(__xludf.DUMMYFUNCTION("""COMPUTED_VALUE"""),2421)</f>
        <v>2421</v>
      </c>
      <c r="J219" t="str">
        <f ca="1">IFERROR(__xludf.DUMMYFUNCTION("""COMPUTED_VALUE"""),"3506 (36290-107-36000) ТЕРЕБОВЛЯ - ТЕРНОПОЛЬ")</f>
        <v>3506 (36290-107-36000) ТЕРЕБОВЛЯ - ТЕРНОПОЛЬ</v>
      </c>
      <c r="K219">
        <f ca="1">IFERROR(__xludf.DUMMYFUNCTION("""COMPUTED_VALUE"""),36000)</f>
        <v>36000</v>
      </c>
      <c r="L219" t="str">
        <f ca="1">IFERROR(__xludf.DUMMYFUNCTION("""COMPUTED_VALUE"""),"ТЕРНОПОЛЬ")</f>
        <v>ТЕРНОПОЛЬ</v>
      </c>
      <c r="M219" t="str">
        <f ca="1">IFERROR(__xludf.DUMMYFUNCTION("""COMPUTED_VALUE"""),"11.08.21 17-36")</f>
        <v>11.08.21 17-36</v>
      </c>
      <c r="N219" t="str">
        <f ca="1">IFERROR(__xludf.DUMMYFUNCTION("""COMPUTED_VALUE"""),"85 ПРСТ")</f>
        <v>85 ПРСТ</v>
      </c>
      <c r="O219">
        <f ca="1">IFERROR(__xludf.DUMMYFUNCTION("""COMPUTED_VALUE"""),32210)</f>
        <v>32210</v>
      </c>
      <c r="P219" t="str">
        <f ca="1">IFERROR(__xludf.DUMMYFUNCTION("""COMPUTED_VALUE"""),"БУЧА")</f>
        <v>БУЧА</v>
      </c>
      <c r="Q219">
        <f ca="1">IFERROR(__xludf.DUMMYFUNCTION("""COMPUTED_VALUE"""),36440)</f>
        <v>36440</v>
      </c>
      <c r="R219" t="str">
        <f ca="1">IFERROR(__xludf.DUMMYFUNCTION("""COMPUTED_VALUE"""),"БУЧАЧ")</f>
        <v>БУЧАЧ</v>
      </c>
      <c r="S219" t="str">
        <f ca="1">IFERROR(__xludf.DUMMYFUNCTION("""COMPUTED_VALUE"""),"03.08.21 13-50")</f>
        <v>03.08.21 13-50</v>
      </c>
      <c r="T219">
        <f ca="1">IFERROR(__xludf.DUMMYFUNCTION("""COMPUTED_VALUE"""),1641)</f>
        <v>1641</v>
      </c>
      <c r="U219" t="str">
        <f ca="1">IFERROR(__xludf.DUMMYFUNCTION("""COMPUTED_VALUE"""),"31.10.2021 ДР")</f>
        <v>31.10.2021 ДР</v>
      </c>
      <c r="Z219" t="str">
        <f ca="1">IFERROR(__xludf.DUMMYFUNCTION("""COMPUTED_VALUE"""),"ООО ""Ф.М.С. групп""")</f>
        <v>ООО "Ф.М.С. групп"</v>
      </c>
      <c r="AA219" t="str">
        <f ca="1">IFERROR(__xludf.DUMMYFUNCTION("""COMPUTED_VALUE"""),"12-783")</f>
        <v>12-783</v>
      </c>
      <c r="AB219" t="str">
        <f ca="1">IFERROR(__xludf.DUMMYFUNCTION("""COMPUTED_VALUE"""),"35 ЛЬВ")</f>
        <v>35 ЛЬВ</v>
      </c>
      <c r="AC219" t="str">
        <f ca="1">IFERROR(__xludf.DUMMYFUNCTION("""COMPUTED_VALUE"""),"36470 ЧЕРТКОВ")</f>
        <v>36470 ЧЕРТКОВ</v>
      </c>
      <c r="AD219" t="str">
        <f ca="1">IFERROR(__xludf.DUMMYFUNCTION("""COMPUTED_VALUE"""),"29.07.21 02-40")</f>
        <v>29.07.21 02-40</v>
      </c>
      <c r="AE219" t="str">
        <f ca="1">IFERROR(__xludf.DUMMYFUNCTION("""COMPUTED_VALUE"""),"404 НEИCПPAВНОСТЬ ТOPМOЗНOГO ЦИЛИНДPA")</f>
        <v>404 НEИCПPAВНОСТЬ ТOPМOЗНOГO ЦИЛИНДPA</v>
      </c>
      <c r="AF219" t="str">
        <f ca="1">IFERROR(__xludf.DUMMYFUNCTION("""COMPUTED_VALUE"""),"35 ЛЬВ")</f>
        <v>35 ЛЬВ</v>
      </c>
      <c r="AG219" t="str">
        <f ca="1">IFERROR(__xludf.DUMMYFUNCTION("""COMPUTED_VALUE"""),"36470 ЧЕРТКОВ")</f>
        <v>36470 ЧЕРТКОВ</v>
      </c>
      <c r="AH219" t="str">
        <f ca="1">IFERROR(__xludf.DUMMYFUNCTION("""COMPUTED_VALUE"""),"31.07.21 13-45")</f>
        <v>31.07.21 13-45</v>
      </c>
      <c r="AI219" s="21">
        <f ca="1">IFERROR(__xludf.DUMMYFUNCTION("""COMPUTED_VALUE"""),44420.3576736111)</f>
        <v>44420.357673611099</v>
      </c>
    </row>
    <row r="220" spans="1:35" ht="13" x14ac:dyDescent="0.15">
      <c r="A220">
        <f ca="1">IFERROR(__xludf.DUMMYFUNCTION("""COMPUTED_VALUE"""),802)</f>
        <v>802</v>
      </c>
      <c r="B220" t="str">
        <f ca="1">IFERROR(__xludf.DUMMYFUNCTION("""COMPUTED_VALUE"""),"Лидер")</f>
        <v>Лидер</v>
      </c>
      <c r="C220" t="str">
        <f ca="1">IFERROR(__xludf.DUMMYFUNCTION("""COMPUTED_VALUE"""),"ФМС груп")</f>
        <v>ФМС груп</v>
      </c>
      <c r="D220">
        <f ca="1">IFERROR(__xludf.DUMMYFUNCTION("""COMPUTED_VALUE"""),63038277)</f>
        <v>63038277</v>
      </c>
      <c r="E220" t="str">
        <f ca="1">IFERROR(__xludf.DUMMYFUNCTION("""COMPUTED_VALUE"""),"60 ПОЛУВАГОНЫ")</f>
        <v>60 ПОЛУВАГОНЫ</v>
      </c>
      <c r="F220">
        <f ca="1">IFERROR(__xludf.DUMMYFUNCTION("""COMPUTED_VALUE"""),42103)</f>
        <v>42103</v>
      </c>
      <c r="G220" t="str">
        <f ca="1">IFERROR(__xludf.DUMMYFUNCTION("""COMPUTED_VALUE"""),"ВАГОНЫ ЖД СВ")</f>
        <v>ВАГОНЫ ЖД СВ</v>
      </c>
      <c r="H220">
        <f ca="1">IFERROR(__xludf.DUMMYFUNCTION("""COMPUTED_VALUE"""),0)</f>
        <v>0</v>
      </c>
      <c r="I220">
        <f ca="1">IFERROR(__xludf.DUMMYFUNCTION("""COMPUTED_VALUE"""),3437)</f>
        <v>3437</v>
      </c>
      <c r="J220" t="str">
        <f ca="1">IFERROR(__xludf.DUMMYFUNCTION("""COMPUTED_VALUE"""),"2727 (44020-209-32000) ОСНОВА - ДАРНИЦА")</f>
        <v>2727 (44020-209-32000) ОСНОВА - ДАРНИЦА</v>
      </c>
      <c r="K220">
        <f ca="1">IFERROR(__xludf.DUMMYFUNCTION("""COMPUTED_VALUE"""),32250)</f>
        <v>32250</v>
      </c>
      <c r="L220" t="str">
        <f ca="1">IFERROR(__xludf.DUMMYFUNCTION("""COMPUTED_VALUE"""),"ИМ.Г.КИРПЫ")</f>
        <v>ИМ.Г.КИРПЫ</v>
      </c>
      <c r="M220" t="str">
        <f ca="1">IFERROR(__xludf.DUMMYFUNCTION("""COMPUTED_VALUE"""),"11.08.21 15-01")</f>
        <v>11.08.21 15-01</v>
      </c>
      <c r="N220" t="str">
        <f ca="1">IFERROR(__xludf.DUMMYFUNCTION("""COMPUTED_VALUE"""),"01 ПРИБ")</f>
        <v>01 ПРИБ</v>
      </c>
      <c r="O220">
        <f ca="1">IFERROR(__xludf.DUMMYFUNCTION("""COMPUTED_VALUE"""),34750)</f>
        <v>34750</v>
      </c>
      <c r="P220" t="str">
        <f ca="1">IFERROR(__xludf.DUMMYFUNCTION("""COMPUTED_VALUE"""),"ПЕНИЗЕВИЧИ")</f>
        <v>ПЕНИЗЕВИЧИ</v>
      </c>
      <c r="Q220">
        <f ca="1">IFERROR(__xludf.DUMMYFUNCTION("""COMPUTED_VALUE"""),49870)</f>
        <v>49870</v>
      </c>
      <c r="R220" t="str">
        <f ca="1">IFERROR(__xludf.DUMMYFUNCTION("""COMPUTED_VALUE"""),"РУБЕЖНОЕ")</f>
        <v>РУБЕЖНОЕ</v>
      </c>
      <c r="S220" t="str">
        <f ca="1">IFERROR(__xludf.DUMMYFUNCTION("""COMPUTED_VALUE"""),"07.08.21 23-10")</f>
        <v>07.08.21 23-10</v>
      </c>
      <c r="T220">
        <f ca="1">IFERROR(__xludf.DUMMYFUNCTION("""COMPUTED_VALUE"""),2992)</f>
        <v>2992</v>
      </c>
      <c r="U220" t="str">
        <f ca="1">IFERROR(__xludf.DUMMYFUNCTION("""COMPUTED_VALUE"""),"31.10.2021 ДР")</f>
        <v>31.10.2021 ДР</v>
      </c>
      <c r="Z220" t="str">
        <f ca="1">IFERROR(__xludf.DUMMYFUNCTION("""COMPUTED_VALUE"""),"ООО ""Ф.М.С. групп""")</f>
        <v>ООО "Ф.М.С. групп"</v>
      </c>
      <c r="AA220" t="str">
        <f ca="1">IFERROR(__xludf.DUMMYFUNCTION("""COMPUTED_VALUE"""),"12-783")</f>
        <v>12-783</v>
      </c>
      <c r="AB220" t="str">
        <f ca="1">IFERROR(__xludf.DUMMYFUNCTION("""COMPUTED_VALUE"""),"48 ДОН")</f>
        <v>48 ДОН</v>
      </c>
      <c r="AC220" t="str">
        <f ca="1">IFERROR(__xludf.DUMMYFUNCTION("""COMPUTED_VALUE"""),"49480 СОЛЬ")</f>
        <v>49480 СОЛЬ</v>
      </c>
      <c r="AD220" t="str">
        <f ca="1">IFERROR(__xludf.DUMMYFUNCTION("""COMPUTED_VALUE"""),"12.04.21 23-20")</f>
        <v>12.04.21 23-20</v>
      </c>
      <c r="AE220" t="str">
        <f ca="1">IFERROR(__xludf.DUMMYFUNCTION("""COMPUTED_VALUE"""),"401 НEИCПPAВНOCТЬ AВТOPEЖИМA И ЕГО ПPИВОДА")</f>
        <v>401 НEИCПPAВНOCТЬ AВТOPEЖИМA И ЕГО ПPИВОДА</v>
      </c>
      <c r="AF220" t="str">
        <f ca="1">IFERROR(__xludf.DUMMYFUNCTION("""COMPUTED_VALUE"""),"48 ДОН")</f>
        <v>48 ДОН</v>
      </c>
      <c r="AG220" t="str">
        <f ca="1">IFERROR(__xludf.DUMMYFUNCTION("""COMPUTED_VALUE"""),"49480 СОЛЬ")</f>
        <v>49480 СОЛЬ</v>
      </c>
      <c r="AH220" t="str">
        <f ca="1">IFERROR(__xludf.DUMMYFUNCTION("""COMPUTED_VALUE"""),"20.04.21 14-00")</f>
        <v>20.04.21 14-00</v>
      </c>
      <c r="AI220" s="21">
        <f ca="1">IFERROR(__xludf.DUMMYFUNCTION("""COMPUTED_VALUE"""),44420.3576736111)</f>
        <v>44420.357673611099</v>
      </c>
    </row>
    <row r="221" spans="1:35" ht="13" x14ac:dyDescent="0.15">
      <c r="A221">
        <f ca="1">IFERROR(__xludf.DUMMYFUNCTION("""COMPUTED_VALUE"""),803)</f>
        <v>803</v>
      </c>
      <c r="B221" t="str">
        <f ca="1">IFERROR(__xludf.DUMMYFUNCTION("""COMPUTED_VALUE"""),"Техрейс")</f>
        <v>Техрейс</v>
      </c>
      <c r="C221" t="str">
        <f ca="1">IFERROR(__xludf.DUMMYFUNCTION("""COMPUTED_VALUE"""),"ФМС груп")</f>
        <v>ФМС груп</v>
      </c>
      <c r="D221">
        <f ca="1">IFERROR(__xludf.DUMMYFUNCTION("""COMPUTED_VALUE"""),62976188)</f>
        <v>62976188</v>
      </c>
      <c r="E221" t="str">
        <f ca="1">IFERROR(__xludf.DUMMYFUNCTION("""COMPUTED_VALUE"""),"60 ПОЛУВАГОНЫ")</f>
        <v>60 ПОЛУВАГОНЫ</v>
      </c>
      <c r="F221">
        <f ca="1">IFERROR(__xludf.DUMMYFUNCTION("""COMPUTED_VALUE"""),42103)</f>
        <v>42103</v>
      </c>
      <c r="G221" t="str">
        <f ca="1">IFERROR(__xludf.DUMMYFUNCTION("""COMPUTED_VALUE"""),"ВАГОНЫ ЖД СВ")</f>
        <v>ВАГОНЫ ЖД СВ</v>
      </c>
      <c r="H221">
        <f ca="1">IFERROR(__xludf.DUMMYFUNCTION("""COMPUTED_VALUE"""),0)</f>
        <v>0</v>
      </c>
      <c r="I221">
        <f ca="1">IFERROR(__xludf.DUMMYFUNCTION("""COMPUTED_VALUE"""),1816)</f>
        <v>1816</v>
      </c>
      <c r="J221" t="str">
        <f ca="1">IFERROR(__xludf.DUMMYFUNCTION("""COMPUTED_VALUE"""),"2314 (48460-008-49310) МАРИУП-ПОРТ - ДОБРОПОЛЬЕ")</f>
        <v>2314 (48460-008-49310) МАРИУП-ПОРТ - ДОБРОПОЛЬЕ</v>
      </c>
      <c r="K221">
        <f ca="1">IFERROR(__xludf.DUMMYFUNCTION("""COMPUTED_VALUE"""),45420)</f>
        <v>45420</v>
      </c>
      <c r="L221" t="str">
        <f ca="1">IFERROR(__xludf.DUMMYFUNCTION("""COMPUTED_VALUE"""),"ЧАПЛИНО")</f>
        <v>ЧАПЛИНО</v>
      </c>
      <c r="M221" t="str">
        <f ca="1">IFERROR(__xludf.DUMMYFUNCTION("""COMPUTED_VALUE"""),"12.08.21 04-50")</f>
        <v>12.08.21 04-50</v>
      </c>
      <c r="N221" t="str">
        <f ca="1">IFERROR(__xludf.DUMMYFUNCTION("""COMPUTED_VALUE"""),"31 ПРИБ")</f>
        <v>31 ПРИБ</v>
      </c>
      <c r="O221">
        <f ca="1">IFERROR(__xludf.DUMMYFUNCTION("""COMPUTED_VALUE"""),48220)</f>
        <v>48220</v>
      </c>
      <c r="P221" t="str">
        <f ca="1">IFERROR(__xludf.DUMMYFUNCTION("""COMPUTED_VALUE"""),"НОВОГРОДОВКА")</f>
        <v>НОВОГРОДОВКА</v>
      </c>
      <c r="Q221">
        <f ca="1">IFERROR(__xludf.DUMMYFUNCTION("""COMPUTED_VALUE"""),46240)</f>
        <v>46240</v>
      </c>
      <c r="R221" t="str">
        <f ca="1">IFERROR(__xludf.DUMMYFUNCTION("""COMPUTED_VALUE"""),"КАМЫШ-ЗАРЯ")</f>
        <v>КАМЫШ-ЗАРЯ</v>
      </c>
      <c r="S221" t="str">
        <f ca="1">IFERROR(__xludf.DUMMYFUNCTION("""COMPUTED_VALUE"""),"10.08.21 13-00")</f>
        <v>10.08.21 13-00</v>
      </c>
      <c r="T221">
        <f ca="1">IFERROR(__xludf.DUMMYFUNCTION("""COMPUTED_VALUE"""),8200)</f>
        <v>8200</v>
      </c>
      <c r="U221" t="str">
        <f ca="1">IFERROR(__xludf.DUMMYFUNCTION("""COMPUTED_VALUE"""),"19.02.2023 ДР")</f>
        <v>19.02.2023 ДР</v>
      </c>
      <c r="Z221" t="str">
        <f ca="1">IFERROR(__xludf.DUMMYFUNCTION("""COMPUTED_VALUE"""),"ООО ""Ф.М.С. групп""")</f>
        <v>ООО "Ф.М.С. групп"</v>
      </c>
      <c r="AA221" t="str">
        <f ca="1">IFERROR(__xludf.DUMMYFUNCTION("""COMPUTED_VALUE"""),"12-783")</f>
        <v>12-783</v>
      </c>
      <c r="AB221" t="str">
        <f ca="1">IFERROR(__xludf.DUMMYFUNCTION("""COMPUTED_VALUE"""),"43 ЮЖН")</f>
        <v>43 ЮЖН</v>
      </c>
      <c r="AC221" t="str">
        <f ca="1">IFERROR(__xludf.DUMMYFUNCTION("""COMPUTED_VALUE"""),"43000 КУПЯНСК-СОРТ")</f>
        <v>43000 КУПЯНСК-СОРТ</v>
      </c>
      <c r="AD221" t="str">
        <f ca="1">IFERROR(__xludf.DUMMYFUNCTION("""COMPUTED_VALUE"""),"11.02.20 20-05")</f>
        <v>11.02.20 20-05</v>
      </c>
      <c r="AE221" t="str">
        <f ca="1">IFERROR(__xludf.DUMMYFUNCTION("""COMPUTED_VALUE"""),"570 ИCТEК КAЛЕНДАРНЫЙ CPOК ДEПOВCКОГО PEМOНТA")</f>
        <v>570 ИCТEК КAЛЕНДАРНЫЙ CPOК ДEПOВCКОГО PEМOНТA</v>
      </c>
      <c r="AF221" t="str">
        <f ca="1">IFERROR(__xludf.DUMMYFUNCTION("""COMPUTED_VALUE"""),"43 ЮЖН")</f>
        <v>43 ЮЖН</v>
      </c>
      <c r="AG221" t="str">
        <f ca="1">IFERROR(__xludf.DUMMYFUNCTION("""COMPUTED_VALUE"""),"43000 КУПЯНСК-СОРТ")</f>
        <v>43000 КУПЯНСК-СОРТ</v>
      </c>
      <c r="AH221" t="str">
        <f ca="1">IFERROR(__xludf.DUMMYFUNCTION("""COMPUTED_VALUE"""),"19.02.20 14-00")</f>
        <v>19.02.20 14-00</v>
      </c>
      <c r="AI221" s="21">
        <f ca="1">IFERROR(__xludf.DUMMYFUNCTION("""COMPUTED_VALUE"""),44420.3576736111)</f>
        <v>44420.357673611099</v>
      </c>
    </row>
    <row r="222" spans="1:35" ht="13" x14ac:dyDescent="0.15">
      <c r="A222">
        <f ca="1">IFERROR(__xludf.DUMMYFUNCTION("""COMPUTED_VALUE"""),804)</f>
        <v>804</v>
      </c>
      <c r="B222" t="str">
        <f ca="1">IFERROR(__xludf.DUMMYFUNCTION("""COMPUTED_VALUE"""),"Подольский цемент")</f>
        <v>Подольский цемент</v>
      </c>
      <c r="C222" t="str">
        <f ca="1">IFERROR(__xludf.DUMMYFUNCTION("""COMPUTED_VALUE"""),"ФМС груп")</f>
        <v>ФМС груп</v>
      </c>
      <c r="D222">
        <f ca="1">IFERROR(__xludf.DUMMYFUNCTION("""COMPUTED_VALUE"""),62976204)</f>
        <v>62976204</v>
      </c>
      <c r="E222" t="str">
        <f ca="1">IFERROR(__xludf.DUMMYFUNCTION("""COMPUTED_VALUE"""),"60 ПОЛУВАГОНЫ")</f>
        <v>60 ПОЛУВАГОНЫ</v>
      </c>
      <c r="F222">
        <f ca="1">IFERROR(__xludf.DUMMYFUNCTION("""COMPUTED_VALUE"""),24500)</f>
        <v>24500</v>
      </c>
      <c r="G222" t="str">
        <f ca="1">IFERROR(__xludf.DUMMYFUNCTION("""COMPUTED_VALUE"""),"КЛИНКЕР ЦЕМЕНТ")</f>
        <v>КЛИНКЕР ЦЕМЕНТ</v>
      </c>
      <c r="H222">
        <f ca="1">IFERROR(__xludf.DUMMYFUNCTION("""COMPUTED_VALUE"""),70)</f>
        <v>70</v>
      </c>
      <c r="I222">
        <f ca="1">IFERROR(__xludf.DUMMYFUNCTION("""COMPUTED_VALUE"""),1451)</f>
        <v>1451</v>
      </c>
      <c r="J222" t="str">
        <f ca="1">IFERROR(__xludf.DUMMYFUNCTION("""COMPUTED_VALUE"""),"5555 (40510-387-00010) ОДЕССА-ЗАС I -")</f>
        <v>5555 (40510-387-00010) ОДЕССА-ЗАС I -</v>
      </c>
      <c r="K222">
        <f ca="1">IFERROR(__xludf.DUMMYFUNCTION("""COMPUTED_VALUE"""),40510)</f>
        <v>40510</v>
      </c>
      <c r="L222" t="str">
        <f ca="1">IFERROR(__xludf.DUMMYFUNCTION("""COMPUTED_VALUE"""),"ОДЕССА-ЗАС I")</f>
        <v>ОДЕССА-ЗАС I</v>
      </c>
      <c r="M222" t="str">
        <f ca="1">IFERROR(__xludf.DUMMYFUNCTION("""COMPUTED_VALUE"""),"11.08.21 14-00")</f>
        <v>11.08.21 14-00</v>
      </c>
      <c r="N222" t="str">
        <f ca="1">IFERROR(__xludf.DUMMYFUNCTION("""COMPUTED_VALUE"""),"21 ВЫГ2")</f>
        <v>21 ВЫГ2</v>
      </c>
      <c r="O222">
        <f ca="1">IFERROR(__xludf.DUMMYFUNCTION("""COMPUTED_VALUE"""),40510)</f>
        <v>40510</v>
      </c>
      <c r="P222" t="str">
        <f ca="1">IFERROR(__xludf.DUMMYFUNCTION("""COMPUTED_VALUE"""),"ОДЕССА-ЗАС I")</f>
        <v>ОДЕССА-ЗАС I</v>
      </c>
      <c r="Q222">
        <f ca="1">IFERROR(__xludf.DUMMYFUNCTION("""COMPUTED_VALUE"""),40210)</f>
        <v>40210</v>
      </c>
      <c r="R222" t="str">
        <f ca="1">IFERROR(__xludf.DUMMYFUNCTION("""COMPUTED_VALUE"""),"ЧЕРНО-ПОРТ-Э")</f>
        <v>ЧЕРНО-ПОРТ-Э</v>
      </c>
      <c r="S222" t="str">
        <f ca="1">IFERROR(__xludf.DUMMYFUNCTION("""COMPUTED_VALUE"""),"09.08.21 09-45")</f>
        <v>09.08.21 09-45</v>
      </c>
      <c r="U222" t="str">
        <f ca="1">IFERROR(__xludf.DUMMYFUNCTION("""COMPUTED_VALUE"""),"28.02.2023 ДР")</f>
        <v>28.02.2023 ДР</v>
      </c>
      <c r="Z222" t="str">
        <f ca="1">IFERROR(__xludf.DUMMYFUNCTION("""COMPUTED_VALUE"""),"ООО ""Ф.М.С. групп""")</f>
        <v>ООО "Ф.М.С. групп"</v>
      </c>
      <c r="AA222" t="str">
        <f ca="1">IFERROR(__xludf.DUMMYFUNCTION("""COMPUTED_VALUE"""),"12-783")</f>
        <v>12-783</v>
      </c>
      <c r="AB222" t="str">
        <f ca="1">IFERROR(__xludf.DUMMYFUNCTION("""COMPUTED_VALUE"""),"43 ЮЖН")</f>
        <v>43 ЮЖН</v>
      </c>
      <c r="AC222" t="str">
        <f ca="1">IFERROR(__xludf.DUMMYFUNCTION("""COMPUTED_VALUE"""),"43000 КУПЯНСК-СОРТ")</f>
        <v>43000 КУПЯНСК-СОРТ</v>
      </c>
      <c r="AD222" t="str">
        <f ca="1">IFERROR(__xludf.DUMMYFUNCTION("""COMPUTED_VALUE"""),"19.02.20 23-43")</f>
        <v>19.02.20 23-43</v>
      </c>
      <c r="AE222" t="str">
        <f ca="1">IFERROR(__xludf.DUMMYFUNCTION("""COMPUTED_VALUE"""),"570 ИCТEК КAЛЕНДАРНЫЙ CPOК ДEПOВCКОГО PEМOНТA")</f>
        <v>570 ИCТEК КAЛЕНДАРНЫЙ CPOК ДEПOВCКОГО PEМOНТA</v>
      </c>
      <c r="AF222" t="str">
        <f ca="1">IFERROR(__xludf.DUMMYFUNCTION("""COMPUTED_VALUE"""),"43 ЮЖН")</f>
        <v>43 ЮЖН</v>
      </c>
      <c r="AG222" t="str">
        <f ca="1">IFERROR(__xludf.DUMMYFUNCTION("""COMPUTED_VALUE"""),"43000 КУПЯНСК-СОРТ")</f>
        <v>43000 КУПЯНСК-СОРТ</v>
      </c>
      <c r="AH222" t="str">
        <f ca="1">IFERROR(__xludf.DUMMYFUNCTION("""COMPUTED_VALUE"""),"28.02.20 13-00")</f>
        <v>28.02.20 13-00</v>
      </c>
      <c r="AI222" s="21">
        <f ca="1">IFERROR(__xludf.DUMMYFUNCTION("""COMPUTED_VALUE"""),44420.3576736111)</f>
        <v>44420.357673611099</v>
      </c>
    </row>
    <row r="223" spans="1:35" ht="13" x14ac:dyDescent="0.15">
      <c r="A223">
        <f ca="1">IFERROR(__xludf.DUMMYFUNCTION("""COMPUTED_VALUE"""),805)</f>
        <v>805</v>
      </c>
      <c r="B223" t="str">
        <f ca="1">IFERROR(__xludf.DUMMYFUNCTION("""COMPUTED_VALUE"""),"Техрейс")</f>
        <v>Техрейс</v>
      </c>
      <c r="C223" t="str">
        <f ca="1">IFERROR(__xludf.DUMMYFUNCTION("""COMPUTED_VALUE"""),"ФМС груп")</f>
        <v>ФМС груп</v>
      </c>
      <c r="D223">
        <f ca="1">IFERROR(__xludf.DUMMYFUNCTION("""COMPUTED_VALUE"""),64226723)</f>
        <v>64226723</v>
      </c>
      <c r="E223" t="str">
        <f ca="1">IFERROR(__xludf.DUMMYFUNCTION("""COMPUTED_VALUE"""),"60 ПОЛУВАГОНЫ")</f>
        <v>60 ПОЛУВАГОНЫ</v>
      </c>
      <c r="F223">
        <f ca="1">IFERROR(__xludf.DUMMYFUNCTION("""COMPUTED_VALUE"""),14109)</f>
        <v>14109</v>
      </c>
      <c r="G223" t="str">
        <f ca="1">IFERROR(__xludf.DUMMYFUNCTION("""COMPUTED_VALUE"""),"ГЕМАТИТ")</f>
        <v>ГЕМАТИТ</v>
      </c>
      <c r="H223">
        <f ca="1">IFERROR(__xludf.DUMMYFUNCTION("""COMPUTED_VALUE"""),70)</f>
        <v>70</v>
      </c>
      <c r="I223">
        <f ca="1">IFERROR(__xludf.DUMMYFUNCTION("""COMPUTED_VALUE"""),5786)</f>
        <v>5786</v>
      </c>
      <c r="J223" t="str">
        <f ca="1">IFERROR(__xludf.DUMMYFUNCTION("""COMPUTED_VALUE"""),"1607 (46720-443-40050) КРИВОЙ РОГ - БЕРЕГОВАЯ")</f>
        <v>1607 (46720-443-40050) КРИВОЙ РОГ - БЕРЕГОВАЯ</v>
      </c>
      <c r="K223">
        <f ca="1">IFERROR(__xludf.DUMMYFUNCTION("""COMPUTED_VALUE"""),40050)</f>
        <v>40050</v>
      </c>
      <c r="L223" t="str">
        <f ca="1">IFERROR(__xludf.DUMMYFUNCTION("""COMPUTED_VALUE"""),"БЕРЕГОВАЯ")</f>
        <v>БЕРЕГОВАЯ</v>
      </c>
      <c r="M223" t="str">
        <f ca="1">IFERROR(__xludf.DUMMYFUNCTION("""COMPUTED_VALUE"""),"12.08.21 08-18")</f>
        <v>12.08.21 08-18</v>
      </c>
      <c r="N223" t="str">
        <f ca="1">IFERROR(__xludf.DUMMYFUNCTION("""COMPUTED_VALUE"""),"04 РАСФ")</f>
        <v>04 РАСФ</v>
      </c>
      <c r="O223">
        <f ca="1">IFERROR(__xludf.DUMMYFUNCTION("""COMPUTED_VALUE"""),40060)</f>
        <v>40060</v>
      </c>
      <c r="P223" t="str">
        <f ca="1">IFERROR(__xludf.DUMMYFUNCTION("""COMPUTED_VALUE"""),"БЕРЕГОВАЯ-Э")</f>
        <v>БЕРЕГОВАЯ-Э</v>
      </c>
      <c r="Q223">
        <f ca="1">IFERROR(__xludf.DUMMYFUNCTION("""COMPUTED_VALUE"""),46720)</f>
        <v>46720</v>
      </c>
      <c r="R223" t="str">
        <f ca="1">IFERROR(__xludf.DUMMYFUNCTION("""COMPUTED_VALUE"""),"КРИВОЙ РОГ")</f>
        <v>КРИВОЙ РОГ</v>
      </c>
      <c r="S223" t="str">
        <f ca="1">IFERROR(__xludf.DUMMYFUNCTION("""COMPUTED_VALUE"""),"10.08.21 19-40")</f>
        <v>10.08.21 19-40</v>
      </c>
      <c r="T223">
        <f ca="1">IFERROR(__xludf.DUMMYFUNCTION("""COMPUTED_VALUE"""),5343)</f>
        <v>5343</v>
      </c>
      <c r="U223" t="str">
        <f ca="1">IFERROR(__xludf.DUMMYFUNCTION("""COMPUTED_VALUE"""),"04.12.2022 ДР")</f>
        <v>04.12.2022 ДР</v>
      </c>
      <c r="Z223" t="str">
        <f ca="1">IFERROR(__xludf.DUMMYFUNCTION("""COMPUTED_VALUE"""),"ООО ""Ф.М.С. групп""")</f>
        <v>ООО "Ф.М.С. групп"</v>
      </c>
      <c r="AA223" t="str">
        <f ca="1">IFERROR(__xludf.DUMMYFUNCTION("""COMPUTED_VALUE"""),"12-783")</f>
        <v>12-783</v>
      </c>
      <c r="AI223" s="21">
        <f ca="1">IFERROR(__xludf.DUMMYFUNCTION("""COMPUTED_VALUE"""),44420.3576736111)</f>
        <v>44420.357673611099</v>
      </c>
    </row>
    <row r="224" spans="1:35" ht="13" x14ac:dyDescent="0.15">
      <c r="A224">
        <f ca="1">IFERROR(__xludf.DUMMYFUNCTION("""COMPUTED_VALUE"""),806)</f>
        <v>806</v>
      </c>
      <c r="B224" t="str">
        <f ca="1">IFERROR(__xludf.DUMMYFUNCTION("""COMPUTED_VALUE"""),"Трансцентр")</f>
        <v>Трансцентр</v>
      </c>
      <c r="C224" t="str">
        <f ca="1">IFERROR(__xludf.DUMMYFUNCTION("""COMPUTED_VALUE"""),"ФМС груп")</f>
        <v>ФМС груп</v>
      </c>
      <c r="D224">
        <f ca="1">IFERROR(__xludf.DUMMYFUNCTION("""COMPUTED_VALUE"""),64226657)</f>
        <v>64226657</v>
      </c>
      <c r="E224" t="str">
        <f ca="1">IFERROR(__xludf.DUMMYFUNCTION("""COMPUTED_VALUE"""),"60 ПОЛУВАГОНЫ")</f>
        <v>60 ПОЛУВАГОНЫ</v>
      </c>
      <c r="F224">
        <f ca="1">IFERROR(__xludf.DUMMYFUNCTION("""COMPUTED_VALUE"""),42103)</f>
        <v>42103</v>
      </c>
      <c r="G224" t="str">
        <f ca="1">IFERROR(__xludf.DUMMYFUNCTION("""COMPUTED_VALUE"""),"ВАГОНЫ ЖД СВ")</f>
        <v>ВАГОНЫ ЖД СВ</v>
      </c>
      <c r="H224">
        <f ca="1">IFERROR(__xludf.DUMMYFUNCTION("""COMPUTED_VALUE"""),69)</f>
        <v>69</v>
      </c>
      <c r="I224">
        <f ca="1">IFERROR(__xludf.DUMMYFUNCTION("""COMPUTED_VALUE"""),4279)</f>
        <v>4279</v>
      </c>
      <c r="J224" t="str">
        <f ca="1">IFERROR(__xludf.DUMMYFUNCTION("""COMPUTED_VALUE"""),"3501 (34000-055-34850) ШЕПЕТОВКА - УШИЦА")</f>
        <v>3501 (34000-055-34850) ШЕПЕТОВКА - УШИЦА</v>
      </c>
      <c r="K224">
        <f ca="1">IFERROR(__xludf.DUMMYFUNCTION("""COMPUTED_VALUE"""),34000)</f>
        <v>34000</v>
      </c>
      <c r="L224" t="str">
        <f ca="1">IFERROR(__xludf.DUMMYFUNCTION("""COMPUTED_VALUE"""),"ШЕПЕТОВКА")</f>
        <v>ШЕПЕТОВКА</v>
      </c>
      <c r="M224" t="str">
        <f ca="1">IFERROR(__xludf.DUMMYFUNCTION("""COMPUTED_VALUE"""),"12.08.21 01-01")</f>
        <v>12.08.21 01-01</v>
      </c>
      <c r="N224" t="str">
        <f ca="1">IFERROR(__xludf.DUMMYFUNCTION("""COMPUTED_VALUE"""),"05 ФОРМ")</f>
        <v>05 ФОРМ</v>
      </c>
      <c r="O224">
        <f ca="1">IFERROR(__xludf.DUMMYFUNCTION("""COMPUTED_VALUE"""),34780)</f>
        <v>34780</v>
      </c>
      <c r="P224" t="str">
        <f ca="1">IFERROR(__xludf.DUMMYFUNCTION("""COMPUTED_VALUE"""),"МАЙДАН-ВИЛА")</f>
        <v>МАЙДАН-ВИЛА</v>
      </c>
      <c r="Q224">
        <f ca="1">IFERROR(__xludf.DUMMYFUNCTION("""COMPUTED_VALUE"""),34780)</f>
        <v>34780</v>
      </c>
      <c r="R224" t="str">
        <f ca="1">IFERROR(__xludf.DUMMYFUNCTION("""COMPUTED_VALUE"""),"МАЙДАН-ВИЛА")</f>
        <v>МАЙДАН-ВИЛА</v>
      </c>
      <c r="S224" t="str">
        <f ca="1">IFERROR(__xludf.DUMMYFUNCTION("""COMPUTED_VALUE"""),"29.07.21 13-10")</f>
        <v>29.07.21 13-10</v>
      </c>
      <c r="T224">
        <f ca="1">IFERROR(__xludf.DUMMYFUNCTION("""COMPUTED_VALUE"""),0)</f>
        <v>0</v>
      </c>
      <c r="U224" t="str">
        <f ca="1">IFERROR(__xludf.DUMMYFUNCTION("""COMPUTED_VALUE"""),"02.12.2022 ДР")</f>
        <v>02.12.2022 ДР</v>
      </c>
      <c r="Z224" t="str">
        <f ca="1">IFERROR(__xludf.DUMMYFUNCTION("""COMPUTED_VALUE"""),"ООО ""Ф.М.С. групп""")</f>
        <v>ООО "Ф.М.С. групп"</v>
      </c>
      <c r="AA224" t="str">
        <f ca="1">IFERROR(__xludf.DUMMYFUNCTION("""COMPUTED_VALUE"""),"12-783")</f>
        <v>12-783</v>
      </c>
      <c r="AB224" t="str">
        <f ca="1">IFERROR(__xludf.DUMMYFUNCTION("""COMPUTED_VALUE"""),"32 Ю-ЗАП")</f>
        <v>32 Ю-ЗАП</v>
      </c>
      <c r="AC224" t="str">
        <f ca="1">IFERROR(__xludf.DUMMYFUNCTION("""COMPUTED_VALUE"""),"34000 ШЕПЕТОВКА")</f>
        <v>34000 ШЕПЕТОВКА</v>
      </c>
      <c r="AD224" t="str">
        <f ca="1">IFERROR(__xludf.DUMMYFUNCTION("""COMPUTED_VALUE"""),"07.03.21 20-20")</f>
        <v>07.03.21 20-20</v>
      </c>
      <c r="AE224" t="str">
        <f ca="1">IFERROR(__xludf.DUMMYFUNCTION("""COMPUTED_VALUE"""),"540 НEИCПPAВНOCТЬ ЗAПOPA ЛЮКA")</f>
        <v>540 НEИCПPAВНOCТЬ ЗAПOPA ЛЮКA</v>
      </c>
      <c r="AF224" t="str">
        <f ca="1">IFERROR(__xludf.DUMMYFUNCTION("""COMPUTED_VALUE"""),"32 Ю-ЗАП")</f>
        <v>32 Ю-ЗАП</v>
      </c>
      <c r="AG224" t="str">
        <f ca="1">IFERROR(__xludf.DUMMYFUNCTION("""COMPUTED_VALUE"""),"34000 ШЕПЕТОВКА")</f>
        <v>34000 ШЕПЕТОВКА</v>
      </c>
      <c r="AH224" t="str">
        <f ca="1">IFERROR(__xludf.DUMMYFUNCTION("""COMPUTED_VALUE"""),"13.03.21 11-00")</f>
        <v>13.03.21 11-00</v>
      </c>
      <c r="AI224" s="21">
        <f ca="1">IFERROR(__xludf.DUMMYFUNCTION("""COMPUTED_VALUE"""),44420.3576736111)</f>
        <v>44420.357673611099</v>
      </c>
    </row>
    <row r="225" spans="1:35" ht="13" x14ac:dyDescent="0.15">
      <c r="A225">
        <f ca="1">IFERROR(__xludf.DUMMYFUNCTION("""COMPUTED_VALUE"""),807)</f>
        <v>807</v>
      </c>
      <c r="B225" t="str">
        <f ca="1">IFERROR(__xludf.DUMMYFUNCTION("""COMPUTED_VALUE"""),"Техрейс")</f>
        <v>Техрейс</v>
      </c>
      <c r="C225" t="str">
        <f ca="1">IFERROR(__xludf.DUMMYFUNCTION("""COMPUTED_VALUE"""),"ФМС груп")</f>
        <v>ФМС груп</v>
      </c>
      <c r="D225">
        <f ca="1">IFERROR(__xludf.DUMMYFUNCTION("""COMPUTED_VALUE"""),63469613)</f>
        <v>63469613</v>
      </c>
      <c r="E225" t="str">
        <f ca="1">IFERROR(__xludf.DUMMYFUNCTION("""COMPUTED_VALUE"""),"60 ПОЛУВАГОНЫ")</f>
        <v>60 ПОЛУВАГОНЫ</v>
      </c>
      <c r="F225">
        <f ca="1">IFERROR(__xludf.DUMMYFUNCTION("""COMPUTED_VALUE"""),23239)</f>
        <v>23239</v>
      </c>
      <c r="G225" t="str">
        <f ca="1">IFERROR(__xludf.DUMMYFUNCTION("""COMPUTED_VALUE"""),"ЩЕБЕНЬ ГРАНИТ")</f>
        <v>ЩЕБЕНЬ ГРАНИТ</v>
      </c>
      <c r="H225">
        <f ca="1">IFERROR(__xludf.DUMMYFUNCTION("""COMPUTED_VALUE"""),70)</f>
        <v>70</v>
      </c>
      <c r="I225">
        <f ca="1">IFERROR(__xludf.DUMMYFUNCTION("""COMPUTED_VALUE"""),3106)</f>
        <v>3106</v>
      </c>
      <c r="J225" t="str">
        <f ca="1">IFERROR(__xludf.DUMMYFUNCTION("""COMPUTED_VALUE"""),"5555 (42500-428-00050) КРЕМЕНЧУГ -")</f>
        <v>5555 (42500-428-00050) КРЕМЕНЧУГ -</v>
      </c>
      <c r="K225">
        <f ca="1">IFERROR(__xludf.DUMMYFUNCTION("""COMPUTED_VALUE"""),42500)</f>
        <v>42500</v>
      </c>
      <c r="L225" t="str">
        <f ca="1">IFERROR(__xludf.DUMMYFUNCTION("""COMPUTED_VALUE"""),"КРЕМЕНЧУГ")</f>
        <v>КРЕМЕНЧУГ</v>
      </c>
      <c r="M225" t="str">
        <f ca="1">IFERROR(__xludf.DUMMYFUNCTION("""COMPUTED_VALUE"""),"12.08.21 07-09")</f>
        <v>12.08.21 07-09</v>
      </c>
      <c r="N225" t="str">
        <f ca="1">IFERROR(__xludf.DUMMYFUNCTION("""COMPUTED_VALUE"""),"05 ФОРМ")</f>
        <v>05 ФОРМ</v>
      </c>
      <c r="O225">
        <f ca="1">IFERROR(__xludf.DUMMYFUNCTION("""COMPUTED_VALUE"""),44000)</f>
        <v>44000</v>
      </c>
      <c r="P225" t="str">
        <f ca="1">IFERROR(__xludf.DUMMYFUNCTION("""COMPUTED_VALUE"""),"ХАРЬКОВ-СОРТ")</f>
        <v>ХАРЬКОВ-СОРТ</v>
      </c>
      <c r="Q225">
        <f ca="1">IFERROR(__xludf.DUMMYFUNCTION("""COMPUTED_VALUE"""),42500)</f>
        <v>42500</v>
      </c>
      <c r="R225" t="str">
        <f ca="1">IFERROR(__xludf.DUMMYFUNCTION("""COMPUTED_VALUE"""),"КРЕМЕНЧУГ")</f>
        <v>КРЕМЕНЧУГ</v>
      </c>
      <c r="S225" t="str">
        <f ca="1">IFERROR(__xludf.DUMMYFUNCTION("""COMPUTED_VALUE"""),"11.08.21 18-05")</f>
        <v>11.08.21 18-05</v>
      </c>
      <c r="T225">
        <f ca="1">IFERROR(__xludf.DUMMYFUNCTION("""COMPUTED_VALUE"""),4305)</f>
        <v>4305</v>
      </c>
      <c r="U225" t="str">
        <f ca="1">IFERROR(__xludf.DUMMYFUNCTION("""COMPUTED_VALUE"""),"22.04.2024 ДР")</f>
        <v>22.04.2024 ДР</v>
      </c>
      <c r="Z225" t="str">
        <f ca="1">IFERROR(__xludf.DUMMYFUNCTION("""COMPUTED_VALUE"""),"ООО ""Ф.М.С. групп""")</f>
        <v>ООО "Ф.М.С. групп"</v>
      </c>
      <c r="AA225" t="str">
        <f ca="1">IFERROR(__xludf.DUMMYFUNCTION("""COMPUTED_VALUE"""),"12-783")</f>
        <v>12-783</v>
      </c>
      <c r="AB225" t="str">
        <f ca="1">IFERROR(__xludf.DUMMYFUNCTION("""COMPUTED_VALUE"""),"35 ЛЬВ")</f>
        <v>35 ЛЬВ</v>
      </c>
      <c r="AC225" t="str">
        <f ca="1">IFERROR(__xludf.DUMMYFUNCTION("""COMPUTED_VALUE"""),"35000 ЗДОЛБУНОВ")</f>
        <v>35000 ЗДОЛБУНОВ</v>
      </c>
      <c r="AD225" t="str">
        <f ca="1">IFERROR(__xludf.DUMMYFUNCTION("""COMPUTED_VALUE"""),"05.07.21 19-00")</f>
        <v>05.07.21 19-00</v>
      </c>
      <c r="AE225" t="str">
        <f ca="1">IFERROR(__xludf.DUMMYFUNCTION("""COMPUTED_VALUE"""),"441 ОБРЫВ/ИЗЛOМ МAГИCТPAЛИ ВOЗДУXOПPOВOДА И ПОДВОДЯЩИХ ТРУБ")</f>
        <v>441 ОБРЫВ/ИЗЛOМ МAГИCТPAЛИ ВOЗДУXOПPOВOДА И ПОДВОДЯЩИХ ТРУБ</v>
      </c>
      <c r="AF225" t="str">
        <f ca="1">IFERROR(__xludf.DUMMYFUNCTION("""COMPUTED_VALUE"""),"35 ЛЬВ")</f>
        <v>35 ЛЬВ</v>
      </c>
      <c r="AG225" t="str">
        <f ca="1">IFERROR(__xludf.DUMMYFUNCTION("""COMPUTED_VALUE"""),"35000 ЗДОЛБУНОВ")</f>
        <v>35000 ЗДОЛБУНОВ</v>
      </c>
      <c r="AH225" t="str">
        <f ca="1">IFERROR(__xludf.DUMMYFUNCTION("""COMPUTED_VALUE"""),"24.07.21 18-30")</f>
        <v>24.07.21 18-30</v>
      </c>
      <c r="AI225" s="21">
        <f ca="1">IFERROR(__xludf.DUMMYFUNCTION("""COMPUTED_VALUE"""),44420.3576736111)</f>
        <v>44420.357673611099</v>
      </c>
    </row>
    <row r="226" spans="1:35" ht="13" x14ac:dyDescent="0.15">
      <c r="A226">
        <f ca="1">IFERROR(__xludf.DUMMYFUNCTION("""COMPUTED_VALUE"""),808)</f>
        <v>808</v>
      </c>
      <c r="B226" t="str">
        <f ca="1">IFERROR(__xludf.DUMMYFUNCTION("""COMPUTED_VALUE"""),"Трансцентр")</f>
        <v>Трансцентр</v>
      </c>
      <c r="C226" t="str">
        <f ca="1">IFERROR(__xludf.DUMMYFUNCTION("""COMPUTED_VALUE"""),"ФМС груп")</f>
        <v>ФМС груп</v>
      </c>
      <c r="D226">
        <f ca="1">IFERROR(__xludf.DUMMYFUNCTION("""COMPUTED_VALUE"""),62976253)</f>
        <v>62976253</v>
      </c>
      <c r="E226" t="str">
        <f ca="1">IFERROR(__xludf.DUMMYFUNCTION("""COMPUTED_VALUE"""),"60 ПОЛУВАГОНЫ")</f>
        <v>60 ПОЛУВАГОНЫ</v>
      </c>
      <c r="F226">
        <f ca="1">IFERROR(__xludf.DUMMYFUNCTION("""COMPUTED_VALUE"""),42103)</f>
        <v>42103</v>
      </c>
      <c r="G226" t="str">
        <f ca="1">IFERROR(__xludf.DUMMYFUNCTION("""COMPUTED_VALUE"""),"ВАГОНЫ ЖД СВ")</f>
        <v>ВАГОНЫ ЖД СВ</v>
      </c>
      <c r="H226">
        <f ca="1">IFERROR(__xludf.DUMMYFUNCTION("""COMPUTED_VALUE"""),69)</f>
        <v>69</v>
      </c>
      <c r="I226">
        <f ca="1">IFERROR(__xludf.DUMMYFUNCTION("""COMPUTED_VALUE"""),4279)</f>
        <v>4279</v>
      </c>
      <c r="J226" t="str">
        <f ca="1">IFERROR(__xludf.DUMMYFUNCTION("""COMPUTED_VALUE"""),"3501 (34000-055-34850) ШЕПЕТОВКА - УШИЦА")</f>
        <v>3501 (34000-055-34850) ШЕПЕТОВКА - УШИЦА</v>
      </c>
      <c r="K226">
        <f ca="1">IFERROR(__xludf.DUMMYFUNCTION("""COMPUTED_VALUE"""),34000)</f>
        <v>34000</v>
      </c>
      <c r="L226" t="str">
        <f ca="1">IFERROR(__xludf.DUMMYFUNCTION("""COMPUTED_VALUE"""),"ШЕПЕТОВКА")</f>
        <v>ШЕПЕТОВКА</v>
      </c>
      <c r="M226" t="str">
        <f ca="1">IFERROR(__xludf.DUMMYFUNCTION("""COMPUTED_VALUE"""),"12.08.21 01-01")</f>
        <v>12.08.21 01-01</v>
      </c>
      <c r="N226" t="str">
        <f ca="1">IFERROR(__xludf.DUMMYFUNCTION("""COMPUTED_VALUE"""),"05 ФОРМ")</f>
        <v>05 ФОРМ</v>
      </c>
      <c r="O226">
        <f ca="1">IFERROR(__xludf.DUMMYFUNCTION("""COMPUTED_VALUE"""),34780)</f>
        <v>34780</v>
      </c>
      <c r="P226" t="str">
        <f ca="1">IFERROR(__xludf.DUMMYFUNCTION("""COMPUTED_VALUE"""),"МАЙДАН-ВИЛА")</f>
        <v>МАЙДАН-ВИЛА</v>
      </c>
      <c r="Q226">
        <f ca="1">IFERROR(__xludf.DUMMYFUNCTION("""COMPUTED_VALUE"""),34780)</f>
        <v>34780</v>
      </c>
      <c r="R226" t="str">
        <f ca="1">IFERROR(__xludf.DUMMYFUNCTION("""COMPUTED_VALUE"""),"МАЙДАН-ВИЛА")</f>
        <v>МАЙДАН-ВИЛА</v>
      </c>
      <c r="S226" t="str">
        <f ca="1">IFERROR(__xludf.DUMMYFUNCTION("""COMPUTED_VALUE"""),"29.07.21 13-10")</f>
        <v>29.07.21 13-10</v>
      </c>
      <c r="T226">
        <f ca="1">IFERROR(__xludf.DUMMYFUNCTION("""COMPUTED_VALUE"""),0)</f>
        <v>0</v>
      </c>
      <c r="U226" t="str">
        <f ca="1">IFERROR(__xludf.DUMMYFUNCTION("""COMPUTED_VALUE"""),"16.02.2023 ДР")</f>
        <v>16.02.2023 ДР</v>
      </c>
      <c r="Z226" t="str">
        <f ca="1">IFERROR(__xludf.DUMMYFUNCTION("""COMPUTED_VALUE"""),"ООО ""Ф.М.С. групп""")</f>
        <v>ООО "Ф.М.С. групп"</v>
      </c>
      <c r="AA226" t="str">
        <f ca="1">IFERROR(__xludf.DUMMYFUNCTION("""COMPUTED_VALUE"""),"12-783")</f>
        <v>12-783</v>
      </c>
      <c r="AB226" t="str">
        <f ca="1">IFERROR(__xludf.DUMMYFUNCTION("""COMPUTED_VALUE"""),"32 Ю-ЗАП")</f>
        <v>32 Ю-ЗАП</v>
      </c>
      <c r="AC226" t="str">
        <f ca="1">IFERROR(__xludf.DUMMYFUNCTION("""COMPUTED_VALUE"""),"34000 ШЕПЕТОВКА")</f>
        <v>34000 ШЕПЕТОВКА</v>
      </c>
      <c r="AD226" t="str">
        <f ca="1">IFERROR(__xludf.DUMMYFUNCTION("""COMPUTED_VALUE"""),"07.03.21 20-20")</f>
        <v>07.03.21 20-20</v>
      </c>
      <c r="AE226" t="str">
        <f ca="1">IFERROR(__xludf.DUMMYFUNCTION("""COMPUTED_VALUE"""),"540 НEИCПPAВНOCТЬ ЗAПOPA ЛЮКA")</f>
        <v>540 НEИCПPAВНOCТЬ ЗAПOPA ЛЮКA</v>
      </c>
      <c r="AF226" t="str">
        <f ca="1">IFERROR(__xludf.DUMMYFUNCTION("""COMPUTED_VALUE"""),"32 Ю-ЗАП")</f>
        <v>32 Ю-ЗАП</v>
      </c>
      <c r="AG226" t="str">
        <f ca="1">IFERROR(__xludf.DUMMYFUNCTION("""COMPUTED_VALUE"""),"34000 ШЕПЕТОВКА")</f>
        <v>34000 ШЕПЕТОВКА</v>
      </c>
      <c r="AH226" t="str">
        <f ca="1">IFERROR(__xludf.DUMMYFUNCTION("""COMPUTED_VALUE"""),"13.03.21 11-00")</f>
        <v>13.03.21 11-00</v>
      </c>
      <c r="AI226" s="21">
        <f ca="1">IFERROR(__xludf.DUMMYFUNCTION("""COMPUTED_VALUE"""),44420.3576736111)</f>
        <v>44420.357673611099</v>
      </c>
    </row>
    <row r="227" spans="1:35" ht="13" x14ac:dyDescent="0.15">
      <c r="A227">
        <f ca="1">IFERROR(__xludf.DUMMYFUNCTION("""COMPUTED_VALUE"""),809)</f>
        <v>809</v>
      </c>
      <c r="B227" t="str">
        <f ca="1">IFERROR(__xludf.DUMMYFUNCTION("""COMPUTED_VALUE"""),"Подольский цемент")</f>
        <v>Подольский цемент</v>
      </c>
      <c r="C227" t="str">
        <f ca="1">IFERROR(__xludf.DUMMYFUNCTION("""COMPUTED_VALUE"""),"ФМС груп")</f>
        <v>ФМС груп</v>
      </c>
      <c r="D227">
        <f ca="1">IFERROR(__xludf.DUMMYFUNCTION("""COMPUTED_VALUE"""),63054928)</f>
        <v>63054928</v>
      </c>
      <c r="E227" t="str">
        <f ca="1">IFERROR(__xludf.DUMMYFUNCTION("""COMPUTED_VALUE"""),"60 ПОЛУВАГОНЫ")</f>
        <v>60 ПОЛУВАГОНЫ</v>
      </c>
      <c r="F227">
        <f ca="1">IFERROR(__xludf.DUMMYFUNCTION("""COMPUTED_VALUE"""),42103)</f>
        <v>42103</v>
      </c>
      <c r="G227" t="str">
        <f ca="1">IFERROR(__xludf.DUMMYFUNCTION("""COMPUTED_VALUE"""),"ВАГОНЫ ЖД СВ")</f>
        <v>ВАГОНЫ ЖД СВ</v>
      </c>
      <c r="H227">
        <f ca="1">IFERROR(__xludf.DUMMYFUNCTION("""COMPUTED_VALUE"""),0)</f>
        <v>0</v>
      </c>
      <c r="I227">
        <f ca="1">IFERROR(__xludf.DUMMYFUNCTION("""COMPUTED_VALUE"""),5268)</f>
        <v>5268</v>
      </c>
      <c r="J227" t="str">
        <f ca="1">IFERROR(__xludf.DUMMYFUNCTION("""COMPUTED_VALUE"""),"1475 (33060-013-33300) ГРЕЧАНЫ - ГУМЕНЦЫ")</f>
        <v>1475 (33060-013-33300) ГРЕЧАНЫ - ГУМЕНЦЫ</v>
      </c>
      <c r="K227">
        <f ca="1">IFERROR(__xludf.DUMMYFUNCTION("""COMPUTED_VALUE"""),33300)</f>
        <v>33300</v>
      </c>
      <c r="L227" t="str">
        <f ca="1">IFERROR(__xludf.DUMMYFUNCTION("""COMPUTED_VALUE"""),"ГУМЕНЦЫ")</f>
        <v>ГУМЕНЦЫ</v>
      </c>
      <c r="M227" t="str">
        <f ca="1">IFERROR(__xludf.DUMMYFUNCTION("""COMPUTED_VALUE"""),"09.08.21 12-00")</f>
        <v>09.08.21 12-00</v>
      </c>
      <c r="N227" t="str">
        <f ca="1">IFERROR(__xludf.DUMMYFUNCTION("""COMPUTED_VALUE"""),"98 ОТОТ")</f>
        <v>98 ОТОТ</v>
      </c>
      <c r="O227">
        <f ca="1">IFERROR(__xludf.DUMMYFUNCTION("""COMPUTED_VALUE"""),33300)</f>
        <v>33300</v>
      </c>
      <c r="P227" t="str">
        <f ca="1">IFERROR(__xludf.DUMMYFUNCTION("""COMPUTED_VALUE"""),"ГУМЕНЦЫ")</f>
        <v>ГУМЕНЦЫ</v>
      </c>
      <c r="Q227">
        <f ca="1">IFERROR(__xludf.DUMMYFUNCTION("""COMPUTED_VALUE"""),37780)</f>
        <v>37780</v>
      </c>
      <c r="R227" t="str">
        <f ca="1">IFERROR(__xludf.DUMMYFUNCTION("""COMPUTED_VALUE"""),"НИКОЛАЕВ-ДН")</f>
        <v>НИКОЛАЕВ-ДН</v>
      </c>
      <c r="S227" t="str">
        <f ca="1">IFERROR(__xludf.DUMMYFUNCTION("""COMPUTED_VALUE"""),"05.08.21 17-00")</f>
        <v>05.08.21 17-00</v>
      </c>
      <c r="T227">
        <f ca="1">IFERROR(__xludf.DUMMYFUNCTION("""COMPUTED_VALUE"""),1489)</f>
        <v>1489</v>
      </c>
      <c r="U227" t="str">
        <f ca="1">IFERROR(__xludf.DUMMYFUNCTION("""COMPUTED_VALUE"""),"02.11.2021 ДР")</f>
        <v>02.11.2021 ДР</v>
      </c>
      <c r="Z227" t="str">
        <f ca="1">IFERROR(__xludf.DUMMYFUNCTION("""COMPUTED_VALUE"""),"ООО ""Ф.М.С. групп""")</f>
        <v>ООО "Ф.М.С. групп"</v>
      </c>
      <c r="AA227" t="str">
        <f ca="1">IFERROR(__xludf.DUMMYFUNCTION("""COMPUTED_VALUE"""),"12-783")</f>
        <v>12-783</v>
      </c>
      <c r="AI227" s="21">
        <f ca="1">IFERROR(__xludf.DUMMYFUNCTION("""COMPUTED_VALUE"""),44420.3576736111)</f>
        <v>44420.357673611099</v>
      </c>
    </row>
    <row r="228" spans="1:35" ht="13" x14ac:dyDescent="0.15">
      <c r="A228">
        <f ca="1">IFERROR(__xludf.DUMMYFUNCTION("""COMPUTED_VALUE"""),810)</f>
        <v>810</v>
      </c>
      <c r="B228" t="str">
        <f ca="1">IFERROR(__xludf.DUMMYFUNCTION("""COMPUTED_VALUE"""),"Техрейс")</f>
        <v>Техрейс</v>
      </c>
      <c r="C228" t="str">
        <f ca="1">IFERROR(__xludf.DUMMYFUNCTION("""COMPUTED_VALUE"""),"ФМС груп")</f>
        <v>ФМС груп</v>
      </c>
      <c r="D228">
        <f ca="1">IFERROR(__xludf.DUMMYFUNCTION("""COMPUTED_VALUE"""),62976238)</f>
        <v>62976238</v>
      </c>
      <c r="E228" t="str">
        <f ca="1">IFERROR(__xludf.DUMMYFUNCTION("""COMPUTED_VALUE"""),"60 ПОЛУВАГОНЫ")</f>
        <v>60 ПОЛУВАГОНЫ</v>
      </c>
      <c r="F228">
        <f ca="1">IFERROR(__xludf.DUMMYFUNCTION("""COMPUTED_VALUE"""),69227)</f>
        <v>69227</v>
      </c>
      <c r="G228" t="str">
        <f ca="1">IFERROR(__xludf.DUMMYFUNCTION("""COMPUTED_VALUE"""),"УТИЛЬ-СЫРЬЕ ПР")</f>
        <v>УТИЛЬ-СЫРЬЕ ПР</v>
      </c>
      <c r="H228">
        <f ca="1">IFERROR(__xludf.DUMMYFUNCTION("""COMPUTED_VALUE"""),66)</f>
        <v>66</v>
      </c>
      <c r="I228">
        <f ca="1">IFERROR(__xludf.DUMMYFUNCTION("""COMPUTED_VALUE"""),2914)</f>
        <v>2914</v>
      </c>
      <c r="J228" t="str">
        <f ca="1">IFERROR(__xludf.DUMMYFUNCTION("""COMPUTED_VALUE"""),"3002 (32740-061-32930) КОНОТОП - ВОРОЖБА")</f>
        <v>3002 (32740-061-32930) КОНОТОП - ВОРОЖБА</v>
      </c>
      <c r="K228">
        <f ca="1">IFERROR(__xludf.DUMMYFUNCTION("""COMPUTED_VALUE"""),44560)</f>
        <v>44560</v>
      </c>
      <c r="L228" t="str">
        <f ca="1">IFERROR(__xludf.DUMMYFUNCTION("""COMPUTED_VALUE"""),"БАСЫ")</f>
        <v>БАСЫ</v>
      </c>
      <c r="M228" t="str">
        <f ca="1">IFERROR(__xludf.DUMMYFUNCTION("""COMPUTED_VALUE"""),"11.08.21 23-00")</f>
        <v>11.08.21 23-00</v>
      </c>
      <c r="N228" t="str">
        <f ca="1">IFERROR(__xludf.DUMMYFUNCTION("""COMPUTED_VALUE"""),"21 ВЫГ2")</f>
        <v>21 ВЫГ2</v>
      </c>
      <c r="O228">
        <f ca="1">IFERROR(__xludf.DUMMYFUNCTION("""COMPUTED_VALUE"""),44560)</f>
        <v>44560</v>
      </c>
      <c r="P228" t="str">
        <f ca="1">IFERROR(__xludf.DUMMYFUNCTION("""COMPUTED_VALUE"""),"БАСЫ")</f>
        <v>БАСЫ</v>
      </c>
      <c r="Q228">
        <f ca="1">IFERROR(__xludf.DUMMYFUNCTION("""COMPUTED_VALUE"""),32090)</f>
        <v>32090</v>
      </c>
      <c r="R228" t="str">
        <f ca="1">IFERROR(__xludf.DUMMYFUNCTION("""COMPUTED_VALUE"""),"НОВЫЕ БЕЗР")</f>
        <v>НОВЫЕ БЕЗР</v>
      </c>
      <c r="S228" t="str">
        <f ca="1">IFERROR(__xludf.DUMMYFUNCTION("""COMPUTED_VALUE"""),"04.08.21 14-30")</f>
        <v>04.08.21 14-30</v>
      </c>
      <c r="U228" t="str">
        <f ca="1">IFERROR(__xludf.DUMMYFUNCTION("""COMPUTED_VALUE"""),"12.03.2023 ДР")</f>
        <v>12.03.2023 ДР</v>
      </c>
      <c r="Z228" t="str">
        <f ca="1">IFERROR(__xludf.DUMMYFUNCTION("""COMPUTED_VALUE"""),"ООО ""Ф.М.С. групп""")</f>
        <v>ООО "Ф.М.С. групп"</v>
      </c>
      <c r="AA228" t="str">
        <f ca="1">IFERROR(__xludf.DUMMYFUNCTION("""COMPUTED_VALUE"""),"12-783")</f>
        <v>12-783</v>
      </c>
      <c r="AB228" t="str">
        <f ca="1">IFERROR(__xludf.DUMMYFUNCTION("""COMPUTED_VALUE"""),"45 ПРИДН")</f>
        <v>45 ПРИДН</v>
      </c>
      <c r="AC228" t="str">
        <f ca="1">IFERROR(__xludf.DUMMYFUNCTION("""COMPUTED_VALUE"""),"45640 ВЕРХОВЦЕВО")</f>
        <v>45640 ВЕРХОВЦЕВО</v>
      </c>
      <c r="AD228" t="str">
        <f ca="1">IFERROR(__xludf.DUMMYFUNCTION("""COMPUTED_VALUE"""),"07.07.21 06-21")</f>
        <v>07.07.21 06-21</v>
      </c>
      <c r="AE228" t="str">
        <f ca="1">IFERROR(__xludf.DUMMYFUNCTION("""COMPUTED_VALUE"""),"219 ЗAВЫШEНИE ФPИКЦИOННOГO КЛИНA ОТНОСИТЕЛЬНО ОПОРНОЙ ПОВЕРХНОСТИ")</f>
        <v>219 ЗAВЫШEНИE ФPИКЦИOННOГO КЛИНA ОТНОСИТЕЛЬНО ОПОРНОЙ ПОВЕРХНОСТИ</v>
      </c>
      <c r="AF228" t="str">
        <f ca="1">IFERROR(__xludf.DUMMYFUNCTION("""COMPUTED_VALUE"""),"45 ПРИДН")</f>
        <v>45 ПРИДН</v>
      </c>
      <c r="AG228" t="str">
        <f ca="1">IFERROR(__xludf.DUMMYFUNCTION("""COMPUTED_VALUE"""),"45640 ВЕРХОВЦЕВО")</f>
        <v>45640 ВЕРХОВЦЕВО</v>
      </c>
      <c r="AH228" t="str">
        <f ca="1">IFERROR(__xludf.DUMMYFUNCTION("""COMPUTED_VALUE"""),"16.07.21 14-50")</f>
        <v>16.07.21 14-50</v>
      </c>
      <c r="AI228" s="21">
        <f ca="1">IFERROR(__xludf.DUMMYFUNCTION("""COMPUTED_VALUE"""),44420.3576736111)</f>
        <v>44420.357673611099</v>
      </c>
    </row>
    <row r="229" spans="1:35" ht="13" x14ac:dyDescent="0.15">
      <c r="A229">
        <f ca="1">IFERROR(__xludf.DUMMYFUNCTION("""COMPUTED_VALUE"""),832)</f>
        <v>832</v>
      </c>
      <c r="B229" t="str">
        <f ca="1">IFERROR(__xludf.DUMMYFUNCTION("""COMPUTED_VALUE"""),"Техрейс")</f>
        <v>Техрейс</v>
      </c>
      <c r="C229" t="str">
        <f ca="1">IFERROR(__xludf.DUMMYFUNCTION("""COMPUTED_VALUE"""),"ТД АЗОВМАШЭКСПОРТ")</f>
        <v>ТД АЗОВМАШЭКСПОРТ</v>
      </c>
      <c r="D229">
        <f ca="1">IFERROR(__xludf.DUMMYFUNCTION("""COMPUTED_VALUE"""),64473317)</f>
        <v>64473317</v>
      </c>
      <c r="E229" t="str">
        <f ca="1">IFERROR(__xludf.DUMMYFUNCTION("""COMPUTED_VALUE"""),"60 ПОЛУВАГОНЫ")</f>
        <v>60 ПОЛУВАГОНЫ</v>
      </c>
      <c r="F229">
        <f ca="1">IFERROR(__xludf.DUMMYFUNCTION("""COMPUTED_VALUE"""),42103)</f>
        <v>42103</v>
      </c>
      <c r="G229" t="str">
        <f ca="1">IFERROR(__xludf.DUMMYFUNCTION("""COMPUTED_VALUE"""),"ВАГОНЫ ЖД СВ")</f>
        <v>ВАГОНЫ ЖД СВ</v>
      </c>
      <c r="H229">
        <f ca="1">IFERROR(__xludf.DUMMYFUNCTION("""COMPUTED_VALUE"""),0)</f>
        <v>0</v>
      </c>
      <c r="I229">
        <f ca="1">IFERROR(__xludf.DUMMYFUNCTION("""COMPUTED_VALUE"""),4305)</f>
        <v>4305</v>
      </c>
      <c r="J229" t="str">
        <f ca="1">IFERROR(__xludf.DUMMYFUNCTION("""COMPUTED_VALUE"""),"4831 (41000-315-41130) ЗНАМЕНКА - КАНАТОВО")</f>
        <v>4831 (41000-315-41130) ЗНАМЕНКА - КАНАТОВО</v>
      </c>
      <c r="K229">
        <f ca="1">IFERROR(__xludf.DUMMYFUNCTION("""COMPUTED_VALUE"""),41130)</f>
        <v>41130</v>
      </c>
      <c r="L229" t="str">
        <f ca="1">IFERROR(__xludf.DUMMYFUNCTION("""COMPUTED_VALUE"""),"КАНАТОВО")</f>
        <v>КАНАТОВО</v>
      </c>
      <c r="M229" t="str">
        <f ca="1">IFERROR(__xludf.DUMMYFUNCTION("""COMPUTED_VALUE"""),"10.08.21 23-35")</f>
        <v>10.08.21 23-35</v>
      </c>
      <c r="N229" t="str">
        <f ca="1">IFERROR(__xludf.DUMMYFUNCTION("""COMPUTED_VALUE"""),"86 ОДПВ")</f>
        <v>86 ОДПВ</v>
      </c>
      <c r="O229">
        <f ca="1">IFERROR(__xludf.DUMMYFUNCTION("""COMPUTED_VALUE"""),42500)</f>
        <v>42500</v>
      </c>
      <c r="P229" t="str">
        <f ca="1">IFERROR(__xludf.DUMMYFUNCTION("""COMPUTED_VALUE"""),"КРЕМЕНЧУГ")</f>
        <v>КРЕМЕНЧУГ</v>
      </c>
      <c r="Q229">
        <f ca="1">IFERROR(__xludf.DUMMYFUNCTION("""COMPUTED_VALUE"""),41130)</f>
        <v>41130</v>
      </c>
      <c r="R229" t="str">
        <f ca="1">IFERROR(__xludf.DUMMYFUNCTION("""COMPUTED_VALUE"""),"КАНАТОВО")</f>
        <v>КАНАТОВО</v>
      </c>
      <c r="S229" t="str">
        <f ca="1">IFERROR(__xludf.DUMMYFUNCTION("""COMPUTED_VALUE"""),"10.08.21 23-35")</f>
        <v>10.08.21 23-35</v>
      </c>
      <c r="T229">
        <f ca="1">IFERROR(__xludf.DUMMYFUNCTION("""COMPUTED_VALUE"""),8200)</f>
        <v>8200</v>
      </c>
      <c r="U229" t="str">
        <f ca="1">IFERROR(__xludf.DUMMYFUNCTION("""COMPUTED_VALUE"""),"24.12.2022 ДР")</f>
        <v>24.12.2022 ДР</v>
      </c>
      <c r="Z229" t="str">
        <f ca="1">IFERROR(__xludf.DUMMYFUNCTION("""COMPUTED_VALUE"""),"ООО «ТД АЗОВМАШЭКСПОРТ»")</f>
        <v>ООО «ТД АЗОВМАШЭКСПОРТ»</v>
      </c>
      <c r="AA229" t="str">
        <f ca="1">IFERROR(__xludf.DUMMYFUNCTION("""COMPUTED_VALUE"""),"12-1704-04")</f>
        <v>12-1704-04</v>
      </c>
      <c r="AI229" s="21">
        <f ca="1">IFERROR(__xludf.DUMMYFUNCTION("""COMPUTED_VALUE"""),44420.3576736111)</f>
        <v>44420.357673611099</v>
      </c>
    </row>
    <row r="230" spans="1:35" ht="13" x14ac:dyDescent="0.15">
      <c r="A230">
        <f ca="1">IFERROR(__xludf.DUMMYFUNCTION("""COMPUTED_VALUE"""),833)</f>
        <v>833</v>
      </c>
      <c r="B230" t="str">
        <f ca="1">IFERROR(__xludf.DUMMYFUNCTION("""COMPUTED_VALUE"""),"Енко Ентерпрайз")</f>
        <v>Енко Ентерпрайз</v>
      </c>
      <c r="C230" t="str">
        <f ca="1">IFERROR(__xludf.DUMMYFUNCTION("""COMPUTED_VALUE"""),"ТД АЗОВМАШЭКСПОРТ")</f>
        <v>ТД АЗОВМАШЭКСПОРТ</v>
      </c>
      <c r="D230">
        <f ca="1">IFERROR(__xludf.DUMMYFUNCTION("""COMPUTED_VALUE"""),64473325)</f>
        <v>64473325</v>
      </c>
      <c r="E230" t="str">
        <f ca="1">IFERROR(__xludf.DUMMYFUNCTION("""COMPUTED_VALUE"""),"60 ПОЛУВАГОНЫ")</f>
        <v>60 ПОЛУВАГОНЫ</v>
      </c>
      <c r="F230">
        <f ca="1">IFERROR(__xludf.DUMMYFUNCTION("""COMPUTED_VALUE"""),23225)</f>
        <v>23225</v>
      </c>
      <c r="G230" t="str">
        <f ca="1">IFERROR(__xludf.DUMMYFUNCTION("""COMPUTED_VALUE"""),"ОТСЕВ ГРАН КАМ")</f>
        <v>ОТСЕВ ГРАН КАМ</v>
      </c>
      <c r="H230">
        <f ca="1">IFERROR(__xludf.DUMMYFUNCTION("""COMPUTED_VALUE"""),70)</f>
        <v>70</v>
      </c>
      <c r="I230">
        <f ca="1">IFERROR(__xludf.DUMMYFUNCTION("""COMPUTED_VALUE"""),1879)</f>
        <v>1879</v>
      </c>
      <c r="J230" t="str">
        <f ca="1">IFERROR(__xludf.DUMMYFUNCTION("""COMPUTED_VALUE"""),"9501 (41190-721-40510) ПОМОШНАЯ - ОДЕССА-ЗАС I")</f>
        <v>9501 (41190-721-40510) ПОМОШНАЯ - ОДЕССА-ЗАС I</v>
      </c>
      <c r="K230">
        <f ca="1">IFERROR(__xludf.DUMMYFUNCTION("""COMPUTED_VALUE"""),40760)</f>
        <v>40760</v>
      </c>
      <c r="L230" t="str">
        <f ca="1">IFERROR(__xludf.DUMMYFUNCTION("""COMPUTED_VALUE"""),"ПЕРВ-НА-БУГЕ")</f>
        <v>ПЕРВ-НА-БУГЕ</v>
      </c>
      <c r="M230" t="str">
        <f ca="1">IFERROR(__xludf.DUMMYFUNCTION("""COMPUTED_VALUE"""),"12.08.21 06-41")</f>
        <v>12.08.21 06-41</v>
      </c>
      <c r="N230" t="str">
        <f ca="1">IFERROR(__xludf.DUMMYFUNCTION("""COMPUTED_VALUE"""),"03 ПРОС")</f>
        <v>03 ПРОС</v>
      </c>
      <c r="O230">
        <f ca="1">IFERROR(__xludf.DUMMYFUNCTION("""COMPUTED_VALUE"""),40130)</f>
        <v>40130</v>
      </c>
      <c r="P230" t="str">
        <f ca="1">IFERROR(__xludf.DUMMYFUNCTION("""COMPUTED_VALUE"""),"ОДЕС-ЗАС II")</f>
        <v>ОДЕС-ЗАС II</v>
      </c>
      <c r="Q230">
        <f ca="1">IFERROR(__xludf.DUMMYFUNCTION("""COMPUTED_VALUE"""),41190)</f>
        <v>41190</v>
      </c>
      <c r="R230" t="str">
        <f ca="1">IFERROR(__xludf.DUMMYFUNCTION("""COMPUTED_VALUE"""),"ПОМОШНАЯ")</f>
        <v>ПОМОШНАЯ</v>
      </c>
      <c r="S230" t="str">
        <f ca="1">IFERROR(__xludf.DUMMYFUNCTION("""COMPUTED_VALUE"""),"11.08.21 18-10")</f>
        <v>11.08.21 18-10</v>
      </c>
      <c r="T230">
        <f ca="1">IFERROR(__xludf.DUMMYFUNCTION("""COMPUTED_VALUE"""),5986)</f>
        <v>5986</v>
      </c>
      <c r="U230" t="str">
        <f ca="1">IFERROR(__xludf.DUMMYFUNCTION("""COMPUTED_VALUE"""),"24.12.2022 ДР")</f>
        <v>24.12.2022 ДР</v>
      </c>
      <c r="Z230" t="str">
        <f ca="1">IFERROR(__xludf.DUMMYFUNCTION("""COMPUTED_VALUE"""),"ООО «ТД АЗОВМАШЭКСПОРТ»")</f>
        <v>ООО «ТД АЗОВМАШЭКСПОРТ»</v>
      </c>
      <c r="AA230" t="str">
        <f ca="1">IFERROR(__xludf.DUMMYFUNCTION("""COMPUTED_VALUE"""),"12-1704-04")</f>
        <v>12-1704-04</v>
      </c>
      <c r="AI230" s="21">
        <f ca="1">IFERROR(__xludf.DUMMYFUNCTION("""COMPUTED_VALUE"""),44420.3576736111)</f>
        <v>44420.357673611099</v>
      </c>
    </row>
    <row r="231" spans="1:35" ht="13" x14ac:dyDescent="0.15">
      <c r="A231">
        <f ca="1">IFERROR(__xludf.DUMMYFUNCTION("""COMPUTED_VALUE"""),834)</f>
        <v>834</v>
      </c>
      <c r="B231" t="str">
        <f ca="1">IFERROR(__xludf.DUMMYFUNCTION("""COMPUTED_VALUE"""),"Техрейс")</f>
        <v>Техрейс</v>
      </c>
      <c r="C231" t="str">
        <f ca="1">IFERROR(__xludf.DUMMYFUNCTION("""COMPUTED_VALUE"""),"ТД АЗОВМАШЭКСПОРТ")</f>
        <v>ТД АЗОВМАШЭКСПОРТ</v>
      </c>
      <c r="D231">
        <f ca="1">IFERROR(__xludf.DUMMYFUNCTION("""COMPUTED_VALUE"""),64473333)</f>
        <v>64473333</v>
      </c>
      <c r="E231" t="str">
        <f ca="1">IFERROR(__xludf.DUMMYFUNCTION("""COMPUTED_VALUE"""),"60 ПОЛУВАГОНЫ")</f>
        <v>60 ПОЛУВАГОНЫ</v>
      </c>
      <c r="F231">
        <f ca="1">IFERROR(__xludf.DUMMYFUNCTION("""COMPUTED_VALUE"""),42119)</f>
        <v>42119</v>
      </c>
      <c r="G231" t="str">
        <f ca="1">IFERROR(__xludf.DUMMYFUNCTION("""COMPUTED_VALUE"""),"ВАГОНЫ ЖД РЕМОН")</f>
        <v>ВАГОНЫ ЖД РЕМОН</v>
      </c>
      <c r="H231">
        <f ca="1">IFERROR(__xludf.DUMMYFUNCTION("""COMPUTED_VALUE"""),0)</f>
        <v>0</v>
      </c>
      <c r="I231">
        <f ca="1">IFERROR(__xludf.DUMMYFUNCTION("""COMPUTED_VALUE"""),5343)</f>
        <v>5343</v>
      </c>
      <c r="J231" t="str">
        <f ca="1">IFERROR(__xludf.DUMMYFUNCTION("""COMPUTED_VALUE"""),"5555 (40000-413-00010) ОДЕССА-СОРТ -")</f>
        <v>5555 (40000-413-00010) ОДЕССА-СОРТ -</v>
      </c>
      <c r="K231">
        <f ca="1">IFERROR(__xludf.DUMMYFUNCTION("""COMPUTED_VALUE"""),40000)</f>
        <v>40000</v>
      </c>
      <c r="L231" t="str">
        <f ca="1">IFERROR(__xludf.DUMMYFUNCTION("""COMPUTED_VALUE"""),"ОДЕССА-СОРТ")</f>
        <v>ОДЕССА-СОРТ</v>
      </c>
      <c r="M231" t="str">
        <f ca="1">IFERROR(__xludf.DUMMYFUNCTION("""COMPUTED_VALUE"""),"12.08.21 03-24")</f>
        <v>12.08.21 03-24</v>
      </c>
      <c r="N231" t="str">
        <f ca="1">IFERROR(__xludf.DUMMYFUNCTION("""COMPUTED_VALUE"""),"04 РАСФ")</f>
        <v>04 РАСФ</v>
      </c>
      <c r="O231">
        <f ca="1">IFERROR(__xludf.DUMMYFUNCTION("""COMPUTED_VALUE"""),46720)</f>
        <v>46720</v>
      </c>
      <c r="P231" t="str">
        <f ca="1">IFERROR(__xludf.DUMMYFUNCTION("""COMPUTED_VALUE"""),"КРИВОЙ РОГ")</f>
        <v>КРИВОЙ РОГ</v>
      </c>
      <c r="Q231">
        <f ca="1">IFERROR(__xludf.DUMMYFUNCTION("""COMPUTED_VALUE"""),40000)</f>
        <v>40000</v>
      </c>
      <c r="R231" t="str">
        <f ca="1">IFERROR(__xludf.DUMMYFUNCTION("""COMPUTED_VALUE"""),"ОДЕССА-СОРТ")</f>
        <v>ОДЕССА-СОРТ</v>
      </c>
      <c r="S231" t="str">
        <f ca="1">IFERROR(__xludf.DUMMYFUNCTION("""COMPUTED_VALUE"""),"10.08.21 11-00")</f>
        <v>10.08.21 11-00</v>
      </c>
      <c r="T231">
        <f ca="1">IFERROR(__xludf.DUMMYFUNCTION("""COMPUTED_VALUE"""),8200)</f>
        <v>8200</v>
      </c>
      <c r="U231" t="str">
        <f ca="1">IFERROR(__xludf.DUMMYFUNCTION("""COMPUTED_VALUE"""),"24.12.2022 ДР")</f>
        <v>24.12.2022 ДР</v>
      </c>
      <c r="Z231" t="str">
        <f ca="1">IFERROR(__xludf.DUMMYFUNCTION("""COMPUTED_VALUE"""),"ООО «ТД АЗОВМАШЭКСПОРТ»")</f>
        <v>ООО «ТД АЗОВМАШЭКСПОРТ»</v>
      </c>
      <c r="AA231" t="str">
        <f ca="1">IFERROR(__xludf.DUMMYFUNCTION("""COMPUTED_VALUE"""),"12-1704-04")</f>
        <v>12-1704-04</v>
      </c>
      <c r="AB231" t="str">
        <f ca="1">IFERROR(__xludf.DUMMYFUNCTION("""COMPUTED_VALUE"""),"40 ОД")</f>
        <v>40 ОД</v>
      </c>
      <c r="AC231" t="str">
        <f ca="1">IFERROR(__xludf.DUMMYFUNCTION("""COMPUTED_VALUE"""),"40000 ОДЕССА-СОРТ")</f>
        <v>40000 ОДЕССА-СОРТ</v>
      </c>
      <c r="AD231" t="str">
        <f ca="1">IFERROR(__xludf.DUMMYFUNCTION("""COMPUTED_VALUE"""),"25.07.21 17-57")</f>
        <v>25.07.21 17-57</v>
      </c>
      <c r="AE231" t="str">
        <f ca="1">IFERROR(__xludf.DUMMYFUNCTION("""COMPUTED_VALUE"""),"531 ПOВPEЖДEНИE OБШИВКИ КУЗOВA")</f>
        <v>531 ПOВPEЖДEНИE OБШИВКИ КУЗOВA</v>
      </c>
      <c r="AF231" t="str">
        <f ca="1">IFERROR(__xludf.DUMMYFUNCTION("""COMPUTED_VALUE"""),"40 ОД")</f>
        <v>40 ОД</v>
      </c>
      <c r="AG231" t="str">
        <f ca="1">IFERROR(__xludf.DUMMYFUNCTION("""COMPUTED_VALUE"""),"40000 ОДЕССА-СОРТ")</f>
        <v>40000 ОДЕССА-СОРТ</v>
      </c>
      <c r="AH231" t="str">
        <f ca="1">IFERROR(__xludf.DUMMYFUNCTION("""COMPUTED_VALUE"""),"28.07.21 14-35")</f>
        <v>28.07.21 14-35</v>
      </c>
      <c r="AI231" s="21">
        <f ca="1">IFERROR(__xludf.DUMMYFUNCTION("""COMPUTED_VALUE"""),44420.3576736111)</f>
        <v>44420.357673611099</v>
      </c>
    </row>
    <row r="232" spans="1:35" ht="13" x14ac:dyDescent="0.15">
      <c r="A232">
        <f ca="1">IFERROR(__xludf.DUMMYFUNCTION("""COMPUTED_VALUE"""),835)</f>
        <v>835</v>
      </c>
      <c r="B232" t="str">
        <f ca="1">IFERROR(__xludf.DUMMYFUNCTION("""COMPUTED_VALUE"""),"Техрейс")</f>
        <v>Техрейс</v>
      </c>
      <c r="C232" t="str">
        <f ca="1">IFERROR(__xludf.DUMMYFUNCTION("""COMPUTED_VALUE"""),"ТД АЗОВМАШЭКСПОРТ")</f>
        <v>ТД АЗОВМАШЭКСПОРТ</v>
      </c>
      <c r="D232">
        <f ca="1">IFERROR(__xludf.DUMMYFUNCTION("""COMPUTED_VALUE"""),64473341)</f>
        <v>64473341</v>
      </c>
      <c r="E232" t="str">
        <f ca="1">IFERROR(__xludf.DUMMYFUNCTION("""COMPUTED_VALUE"""),"60 ПОЛУВАГОНЫ")</f>
        <v>60 ПОЛУВАГОНЫ</v>
      </c>
      <c r="F232">
        <f ca="1">IFERROR(__xludf.DUMMYFUNCTION("""COMPUTED_VALUE"""),42103)</f>
        <v>42103</v>
      </c>
      <c r="G232" t="str">
        <f ca="1">IFERROR(__xludf.DUMMYFUNCTION("""COMPUTED_VALUE"""),"ВАГОНЫ ЖД СВ")</f>
        <v>ВАГОНЫ ЖД СВ</v>
      </c>
      <c r="H232">
        <f ca="1">IFERROR(__xludf.DUMMYFUNCTION("""COMPUTED_VALUE"""),0)</f>
        <v>0</v>
      </c>
      <c r="I232">
        <f ca="1">IFERROR(__xludf.DUMMYFUNCTION("""COMPUTED_VALUE"""),4307)</f>
        <v>4307</v>
      </c>
      <c r="J232" t="str">
        <f ca="1">IFERROR(__xludf.DUMMYFUNCTION("""COMPUTED_VALUE"""),"3019 (41270-024-40000) КОЛОСОВКА - ОДЕССА-СОРТ")</f>
        <v>3019 (41270-024-40000) КОЛОСОВКА - ОДЕССА-СОРТ</v>
      </c>
      <c r="K232">
        <f ca="1">IFERROR(__xludf.DUMMYFUNCTION("""COMPUTED_VALUE"""),40000)</f>
        <v>40000</v>
      </c>
      <c r="L232" t="str">
        <f ca="1">IFERROR(__xludf.DUMMYFUNCTION("""COMPUTED_VALUE"""),"ОДЕССА-СОРТ")</f>
        <v>ОДЕССА-СОРТ</v>
      </c>
      <c r="M232" t="str">
        <f ca="1">IFERROR(__xludf.DUMMYFUNCTION("""COMPUTED_VALUE"""),"11.08.21 21-35")</f>
        <v>11.08.21 21-35</v>
      </c>
      <c r="N232" t="str">
        <f ca="1">IFERROR(__xludf.DUMMYFUNCTION("""COMPUTED_VALUE"""),"51 ПРИБ")</f>
        <v>51 ПРИБ</v>
      </c>
      <c r="O232">
        <f ca="1">IFERROR(__xludf.DUMMYFUNCTION("""COMPUTED_VALUE"""),40200)</f>
        <v>40200</v>
      </c>
      <c r="P232" t="str">
        <f ca="1">IFERROR(__xludf.DUMMYFUNCTION("""COMPUTED_VALUE"""),"ЧЕРНОМОРСК-П")</f>
        <v>ЧЕРНОМОРСК-П</v>
      </c>
      <c r="Q232">
        <f ca="1">IFERROR(__xludf.DUMMYFUNCTION("""COMPUTED_VALUE"""),40050)</f>
        <v>40050</v>
      </c>
      <c r="R232" t="str">
        <f ca="1">IFERROR(__xludf.DUMMYFUNCTION("""COMPUTED_VALUE"""),"БЕРЕГОВАЯ")</f>
        <v>БЕРЕГОВАЯ</v>
      </c>
      <c r="S232" t="str">
        <f ca="1">IFERROR(__xludf.DUMMYFUNCTION("""COMPUTED_VALUE"""),"07.08.21 21-50")</f>
        <v>07.08.21 21-50</v>
      </c>
      <c r="T232">
        <f ca="1">IFERROR(__xludf.DUMMYFUNCTION("""COMPUTED_VALUE"""),8200)</f>
        <v>8200</v>
      </c>
      <c r="U232" t="str">
        <f ca="1">IFERROR(__xludf.DUMMYFUNCTION("""COMPUTED_VALUE"""),"24.12.2022 ДР")</f>
        <v>24.12.2022 ДР</v>
      </c>
      <c r="Z232" t="str">
        <f ca="1">IFERROR(__xludf.DUMMYFUNCTION("""COMPUTED_VALUE"""),"ООО «ТД АЗОВМАШЭКСПОРТ»")</f>
        <v>ООО «ТД АЗОВМАШЭКСПОРТ»</v>
      </c>
      <c r="AA232" t="str">
        <f ca="1">IFERROR(__xludf.DUMMYFUNCTION("""COMPUTED_VALUE"""),"12-1704-04")</f>
        <v>12-1704-04</v>
      </c>
      <c r="AI232" s="21">
        <f ca="1">IFERROR(__xludf.DUMMYFUNCTION("""COMPUTED_VALUE"""),44420.357662037)</f>
        <v>44420.357662037</v>
      </c>
    </row>
    <row r="233" spans="1:35" ht="13" x14ac:dyDescent="0.15">
      <c r="A233">
        <f ca="1">IFERROR(__xludf.DUMMYFUNCTION("""COMPUTED_VALUE"""),836)</f>
        <v>836</v>
      </c>
      <c r="B233" t="str">
        <f ca="1">IFERROR(__xludf.DUMMYFUNCTION("""COMPUTED_VALUE"""),"Техрейс")</f>
        <v>Техрейс</v>
      </c>
      <c r="C233" t="str">
        <f ca="1">IFERROR(__xludf.DUMMYFUNCTION("""COMPUTED_VALUE"""),"ТД АЗОВМАШЭКСПОРТ")</f>
        <v>ТД АЗОВМАШЭКСПОРТ</v>
      </c>
      <c r="D233">
        <f ca="1">IFERROR(__xludf.DUMMYFUNCTION("""COMPUTED_VALUE"""),64473366)</f>
        <v>64473366</v>
      </c>
      <c r="E233" t="str">
        <f ca="1">IFERROR(__xludf.DUMMYFUNCTION("""COMPUTED_VALUE"""),"60 ПОЛУВАГОНЫ")</f>
        <v>60 ПОЛУВАГОНЫ</v>
      </c>
      <c r="F233">
        <f ca="1">IFERROR(__xludf.DUMMYFUNCTION("""COMPUTED_VALUE"""),23239)</f>
        <v>23239</v>
      </c>
      <c r="G233" t="str">
        <f ca="1">IFERROR(__xludf.DUMMYFUNCTION("""COMPUTED_VALUE"""),"ЩЕБЕНЬ ГРАНИТ")</f>
        <v>ЩЕБЕНЬ ГРАНИТ</v>
      </c>
      <c r="H233">
        <f ca="1">IFERROR(__xludf.DUMMYFUNCTION("""COMPUTED_VALUE"""),70)</f>
        <v>70</v>
      </c>
      <c r="I233">
        <f ca="1">IFERROR(__xludf.DUMMYFUNCTION("""COMPUTED_VALUE"""),2059)</f>
        <v>2059</v>
      </c>
      <c r="J233" t="str">
        <f ca="1">IFERROR(__xludf.DUMMYFUNCTION("""COMPUTED_VALUE"""),"5555 (44000-273-00050) ХАРЬКОВ-СОРТ -")</f>
        <v>5555 (44000-273-00050) ХАРЬКОВ-СОРТ -</v>
      </c>
      <c r="K233">
        <f ca="1">IFERROR(__xludf.DUMMYFUNCTION("""COMPUTED_VALUE"""),44000)</f>
        <v>44000</v>
      </c>
      <c r="L233" t="str">
        <f ca="1">IFERROR(__xludf.DUMMYFUNCTION("""COMPUTED_VALUE"""),"ХАРЬКОВ-СОРТ")</f>
        <v>ХАРЬКОВ-СОРТ</v>
      </c>
      <c r="M233" t="str">
        <f ca="1">IFERROR(__xludf.DUMMYFUNCTION("""COMPUTED_VALUE"""),"12.08.21 07-10")</f>
        <v>12.08.21 07-10</v>
      </c>
      <c r="N233" t="str">
        <f ca="1">IFERROR(__xludf.DUMMYFUNCTION("""COMPUTED_VALUE"""),"04 РАСФ")</f>
        <v>04 РАСФ</v>
      </c>
      <c r="O233">
        <f ca="1">IFERROR(__xludf.DUMMYFUNCTION("""COMPUTED_VALUE"""),44050)</f>
        <v>44050</v>
      </c>
      <c r="P233" t="str">
        <f ca="1">IFERROR(__xludf.DUMMYFUNCTION("""COMPUTED_VALUE"""),"ХАРЬКОВ-БАЛ")</f>
        <v>ХАРЬКОВ-БАЛ</v>
      </c>
      <c r="Q233">
        <f ca="1">IFERROR(__xludf.DUMMYFUNCTION("""COMPUTED_VALUE"""),46600)</f>
        <v>46600</v>
      </c>
      <c r="R233" t="str">
        <f ca="1">IFERROR(__xludf.DUMMYFUNCTION("""COMPUTED_VALUE"""),"НИКОПОЛЬ")</f>
        <v>НИКОПОЛЬ</v>
      </c>
      <c r="S233" t="str">
        <f ca="1">IFERROR(__xludf.DUMMYFUNCTION("""COMPUTED_VALUE"""),"09.08.21 18-00")</f>
        <v>09.08.21 18-00</v>
      </c>
      <c r="T233">
        <f ca="1">IFERROR(__xludf.DUMMYFUNCTION("""COMPUTED_VALUE"""),4806)</f>
        <v>4806</v>
      </c>
      <c r="U233" t="str">
        <f ca="1">IFERROR(__xludf.DUMMYFUNCTION("""COMPUTED_VALUE"""),"24.12.2022 ДР")</f>
        <v>24.12.2022 ДР</v>
      </c>
      <c r="Z233" t="str">
        <f ca="1">IFERROR(__xludf.DUMMYFUNCTION("""COMPUTED_VALUE"""),"ООО «ТД АЗОВМАШЭКСПОРТ»")</f>
        <v>ООО «ТД АЗОВМАШЭКСПОРТ»</v>
      </c>
      <c r="AA233" t="str">
        <f ca="1">IFERROR(__xludf.DUMMYFUNCTION("""COMPUTED_VALUE"""),"12-1704-04")</f>
        <v>12-1704-04</v>
      </c>
      <c r="AI233" s="21">
        <f ca="1">IFERROR(__xludf.DUMMYFUNCTION("""COMPUTED_VALUE"""),44420.357662037)</f>
        <v>44420.357662037</v>
      </c>
    </row>
    <row r="234" spans="1:35" ht="13" x14ac:dyDescent="0.15">
      <c r="A234">
        <f ca="1">IFERROR(__xludf.DUMMYFUNCTION("""COMPUTED_VALUE"""),837)</f>
        <v>837</v>
      </c>
      <c r="B234" t="str">
        <f ca="1">IFERROR(__xludf.DUMMYFUNCTION("""COMPUTED_VALUE"""),"Ламан-Шипинг скраренда")</f>
        <v>Ламан-Шипинг скраренда</v>
      </c>
      <c r="C234" t="str">
        <f ca="1">IFERROR(__xludf.DUMMYFUNCTION("""COMPUTED_VALUE"""),"ТД АЗОВМАШЭКСПОРТ")</f>
        <v>ТД АЗОВМАШЭКСПОРТ</v>
      </c>
      <c r="D234">
        <f ca="1">IFERROR(__xludf.DUMMYFUNCTION("""COMPUTED_VALUE"""),64473374)</f>
        <v>64473374</v>
      </c>
      <c r="E234" t="str">
        <f ca="1">IFERROR(__xludf.DUMMYFUNCTION("""COMPUTED_VALUE"""),"60 ПОЛУВАГОНЫ")</f>
        <v>60 ПОЛУВАГОНЫ</v>
      </c>
      <c r="F234">
        <f ca="1">IFERROR(__xludf.DUMMYFUNCTION("""COMPUTED_VALUE"""),42103)</f>
        <v>42103</v>
      </c>
      <c r="G234" t="str">
        <f ca="1">IFERROR(__xludf.DUMMYFUNCTION("""COMPUTED_VALUE"""),"ВАГОНЫ ЖД СВ")</f>
        <v>ВАГОНЫ ЖД СВ</v>
      </c>
      <c r="H234">
        <f ca="1">IFERROR(__xludf.DUMMYFUNCTION("""COMPUTED_VALUE"""),0)</f>
        <v>0</v>
      </c>
      <c r="I234">
        <f ca="1">IFERROR(__xludf.DUMMYFUNCTION("""COMPUTED_VALUE"""),4279)</f>
        <v>4279</v>
      </c>
      <c r="J234" t="str">
        <f ca="1">IFERROR(__xludf.DUMMYFUNCTION("""COMPUTED_VALUE"""),"3602 (32010-565-32000) КИЕВ-ДЕМЕЕВС - ДАРНИЦА")</f>
        <v>3602 (32010-565-32000) КИЕВ-ДЕМЕЕВС - ДАРНИЦА</v>
      </c>
      <c r="K234">
        <f ca="1">IFERROR(__xludf.DUMMYFUNCTION("""COMPUTED_VALUE"""),32010)</f>
        <v>32010</v>
      </c>
      <c r="L234" t="str">
        <f ca="1">IFERROR(__xludf.DUMMYFUNCTION("""COMPUTED_VALUE"""),"КИЕВ-ДЕМЕЕВС")</f>
        <v>КИЕВ-ДЕМЕЕВС</v>
      </c>
      <c r="M234" t="str">
        <f ca="1">IFERROR(__xludf.DUMMYFUNCTION("""COMPUTED_VALUE"""),"11.08.21 18-20")</f>
        <v>11.08.21 18-20</v>
      </c>
      <c r="N234" t="str">
        <f ca="1">IFERROR(__xludf.DUMMYFUNCTION("""COMPUTED_VALUE"""),"05 ФОРМ")</f>
        <v>05 ФОРМ</v>
      </c>
      <c r="O234">
        <f ca="1">IFERROR(__xludf.DUMMYFUNCTION("""COMPUTED_VALUE"""),34170)</f>
        <v>34170</v>
      </c>
      <c r="P234" t="str">
        <f ca="1">IFERROR(__xludf.DUMMYFUNCTION("""COMPUTED_VALUE"""),"ПОЛОННОЕ")</f>
        <v>ПОЛОННОЕ</v>
      </c>
      <c r="Q234">
        <f ca="1">IFERROR(__xludf.DUMMYFUNCTION("""COMPUTED_VALUE"""),32010)</f>
        <v>32010</v>
      </c>
      <c r="R234" t="str">
        <f ca="1">IFERROR(__xludf.DUMMYFUNCTION("""COMPUTED_VALUE"""),"КИЕВ-ДЕМЕЕВС")</f>
        <v>КИЕВ-ДЕМЕЕВС</v>
      </c>
      <c r="S234" t="str">
        <f ca="1">IFERROR(__xludf.DUMMYFUNCTION("""COMPUTED_VALUE"""),"09.08.21 10-00")</f>
        <v>09.08.21 10-00</v>
      </c>
      <c r="T234">
        <f ca="1">IFERROR(__xludf.DUMMYFUNCTION("""COMPUTED_VALUE"""),5625)</f>
        <v>5625</v>
      </c>
      <c r="U234" t="str">
        <f ca="1">IFERROR(__xludf.DUMMYFUNCTION("""COMPUTED_VALUE"""),"24.12.2022 ДР")</f>
        <v>24.12.2022 ДР</v>
      </c>
      <c r="Z234" t="str">
        <f ca="1">IFERROR(__xludf.DUMMYFUNCTION("""COMPUTED_VALUE"""),"ООО «ТД АЗОВМАШЭКСПОРТ»")</f>
        <v>ООО «ТД АЗОВМАШЭКСПОРТ»</v>
      </c>
      <c r="AA234" t="str">
        <f ca="1">IFERROR(__xludf.DUMMYFUNCTION("""COMPUTED_VALUE"""),"12-1704-04")</f>
        <v>12-1704-04</v>
      </c>
      <c r="AI234" s="21">
        <f ca="1">IFERROR(__xludf.DUMMYFUNCTION("""COMPUTED_VALUE"""),44420.357662037)</f>
        <v>44420.357662037</v>
      </c>
    </row>
    <row r="235" spans="1:35" ht="13" x14ac:dyDescent="0.15">
      <c r="A235">
        <f ca="1">IFERROR(__xludf.DUMMYFUNCTION("""COMPUTED_VALUE"""),838)</f>
        <v>838</v>
      </c>
      <c r="B235" t="str">
        <f ca="1">IFERROR(__xludf.DUMMYFUNCTION("""COMPUTED_VALUE"""),"Техрейс")</f>
        <v>Техрейс</v>
      </c>
      <c r="C235" t="str">
        <f ca="1">IFERROR(__xludf.DUMMYFUNCTION("""COMPUTED_VALUE"""),"ТД АЗОВМАШЭКСПОРТ")</f>
        <v>ТД АЗОВМАШЭКСПОРТ</v>
      </c>
      <c r="D235">
        <f ca="1">IFERROR(__xludf.DUMMYFUNCTION("""COMPUTED_VALUE"""),64473408)</f>
        <v>64473408</v>
      </c>
      <c r="E235" t="str">
        <f ca="1">IFERROR(__xludf.DUMMYFUNCTION("""COMPUTED_VALUE"""),"60 ПОЛУВАГОНЫ")</f>
        <v>60 ПОЛУВАГОНЫ</v>
      </c>
      <c r="F235">
        <f ca="1">IFERROR(__xludf.DUMMYFUNCTION("""COMPUTED_VALUE"""),24132)</f>
        <v>24132</v>
      </c>
      <c r="G235" t="str">
        <f ca="1">IFERROR(__xludf.DUMMYFUNCTION("""COMPUTED_VALUE"""),"КАМЕНЬ ГИПСОВ")</f>
        <v>КАМЕНЬ ГИПСОВ</v>
      </c>
      <c r="H235">
        <f ca="1">IFERROR(__xludf.DUMMYFUNCTION("""COMPUTED_VALUE"""),70)</f>
        <v>70</v>
      </c>
      <c r="I235">
        <f ca="1">IFERROR(__xludf.DUMMYFUNCTION("""COMPUTED_VALUE"""),3203)</f>
        <v>3203</v>
      </c>
      <c r="J235" t="str">
        <f ca="1">IFERROR(__xludf.DUMMYFUNCTION("""COMPUTED_VALUE"""),"2711 (46000-790-41510) ЗАПОРОЖ-ЛЕВ - НИКОЛАЕВ")</f>
        <v>2711 (46000-790-41510) ЗАПОРОЖ-ЛЕВ - НИКОЛАЕВ</v>
      </c>
      <c r="K235">
        <f ca="1">IFERROR(__xludf.DUMMYFUNCTION("""COMPUTED_VALUE"""),41510)</f>
        <v>41510</v>
      </c>
      <c r="L235" t="str">
        <f ca="1">IFERROR(__xludf.DUMMYFUNCTION("""COMPUTED_VALUE"""),"НИКОЛАЕВ")</f>
        <v>НИКОЛАЕВ</v>
      </c>
      <c r="M235" t="str">
        <f ca="1">IFERROR(__xludf.DUMMYFUNCTION("""COMPUTED_VALUE"""),"12.08.21 03-25")</f>
        <v>12.08.21 03-25</v>
      </c>
      <c r="N235" t="str">
        <f ca="1">IFERROR(__xludf.DUMMYFUNCTION("""COMPUTED_VALUE"""),"04 РАСФ")</f>
        <v>04 РАСФ</v>
      </c>
      <c r="O235">
        <f ca="1">IFERROR(__xludf.DUMMYFUNCTION("""COMPUTED_VALUE"""),41680)</f>
        <v>41680</v>
      </c>
      <c r="P235" t="str">
        <f ca="1">IFERROR(__xludf.DUMMYFUNCTION("""COMPUTED_VALUE"""),"КАХОВКА")</f>
        <v>КАХОВКА</v>
      </c>
      <c r="Q235">
        <f ca="1">IFERROR(__xludf.DUMMYFUNCTION("""COMPUTED_VALUE"""),49480)</f>
        <v>49480</v>
      </c>
      <c r="R235" t="str">
        <f ca="1">IFERROR(__xludf.DUMMYFUNCTION("""COMPUTED_VALUE"""),"СОЛЬ")</f>
        <v>СОЛЬ</v>
      </c>
      <c r="S235" t="str">
        <f ca="1">IFERROR(__xludf.DUMMYFUNCTION("""COMPUTED_VALUE"""),"07.08.21 12-30")</f>
        <v>07.08.21 12-30</v>
      </c>
      <c r="T235">
        <f ca="1">IFERROR(__xludf.DUMMYFUNCTION("""COMPUTED_VALUE"""),5377)</f>
        <v>5377</v>
      </c>
      <c r="U235" t="str">
        <f ca="1">IFERROR(__xludf.DUMMYFUNCTION("""COMPUTED_VALUE"""),"24.12.2022 ДР")</f>
        <v>24.12.2022 ДР</v>
      </c>
      <c r="Z235" t="str">
        <f ca="1">IFERROR(__xludf.DUMMYFUNCTION("""COMPUTED_VALUE"""),"ООО «ТД АЗОВМАШЭКСПОРТ»")</f>
        <v>ООО «ТД АЗОВМАШЭКСПОРТ»</v>
      </c>
      <c r="AA235" t="str">
        <f ca="1">IFERROR(__xludf.DUMMYFUNCTION("""COMPUTED_VALUE"""),"12-1704-04")</f>
        <v>12-1704-04</v>
      </c>
      <c r="AB235" t="str">
        <f ca="1">IFERROR(__xludf.DUMMYFUNCTION("""COMPUTED_VALUE"""),"13 БЕЛ")</f>
        <v>13 БЕЛ</v>
      </c>
      <c r="AC235" t="str">
        <f ca="1">IFERROR(__xludf.DUMMYFUNCTION("""COMPUTED_VALUE"""),"15380 КАЛИНКОВИЧИ")</f>
        <v>15380 КАЛИНКОВИЧИ</v>
      </c>
      <c r="AD235" t="str">
        <f ca="1">IFERROR(__xludf.DUMMYFUNCTION("""COMPUTED_VALUE"""),"01.03.21 02-02")</f>
        <v>01.03.21 02-02</v>
      </c>
      <c r="AE235" t="str">
        <f ca="1">IFERROR(__xludf.DUMMYFUNCTION("""COMPUTED_VALUE"""),"440 OCЛAБЛЕНИЕ КPEПЛЕНИЯ ТPУБ ВОЗДУХОПРОВОДА И ТОРМОЗНЫХ ПРИБОРОВ")</f>
        <v>440 OCЛAБЛЕНИЕ КPEПЛЕНИЯ ТPУБ ВОЗДУХОПРОВОДА И ТОРМОЗНЫХ ПРИБОРОВ</v>
      </c>
      <c r="AF235" t="str">
        <f ca="1">IFERROR(__xludf.DUMMYFUNCTION("""COMPUTED_VALUE"""),"13 БЕЛ")</f>
        <v>13 БЕЛ</v>
      </c>
      <c r="AG235" t="str">
        <f ca="1">IFERROR(__xludf.DUMMYFUNCTION("""COMPUTED_VALUE"""),"15000 ГОМЕЛЬ")</f>
        <v>15000 ГОМЕЛЬ</v>
      </c>
      <c r="AH235" t="str">
        <f ca="1">IFERROR(__xludf.DUMMYFUNCTION("""COMPUTED_VALUE"""),"04.03.21 16-12")</f>
        <v>04.03.21 16-12</v>
      </c>
      <c r="AI235" s="21">
        <f ca="1">IFERROR(__xludf.DUMMYFUNCTION("""COMPUTED_VALUE"""),44420.357662037)</f>
        <v>44420.357662037</v>
      </c>
    </row>
    <row r="236" spans="1:35" ht="13" x14ac:dyDescent="0.15">
      <c r="A236">
        <f ca="1">IFERROR(__xludf.DUMMYFUNCTION("""COMPUTED_VALUE"""),839)</f>
        <v>839</v>
      </c>
      <c r="B236" t="str">
        <f ca="1">IFERROR(__xludf.DUMMYFUNCTION("""COMPUTED_VALUE"""),"Техрейс")</f>
        <v>Техрейс</v>
      </c>
      <c r="C236" t="str">
        <f ca="1">IFERROR(__xludf.DUMMYFUNCTION("""COMPUTED_VALUE"""),"ТД АЗОВМАШЭКСПОРТ")</f>
        <v>ТД АЗОВМАШЭКСПОРТ</v>
      </c>
      <c r="D236">
        <f ca="1">IFERROR(__xludf.DUMMYFUNCTION("""COMPUTED_VALUE"""),64473416)</f>
        <v>64473416</v>
      </c>
      <c r="E236" t="str">
        <f ca="1">IFERROR(__xludf.DUMMYFUNCTION("""COMPUTED_VALUE"""),"60 ПОЛУВАГОНЫ")</f>
        <v>60 ПОЛУВАГОНЫ</v>
      </c>
      <c r="F236">
        <f ca="1">IFERROR(__xludf.DUMMYFUNCTION("""COMPUTED_VALUE"""),14109)</f>
        <v>14109</v>
      </c>
      <c r="G236" t="str">
        <f ca="1">IFERROR(__xludf.DUMMYFUNCTION("""COMPUTED_VALUE"""),"ГЕМАТИТ")</f>
        <v>ГЕМАТИТ</v>
      </c>
      <c r="H236">
        <f ca="1">IFERROR(__xludf.DUMMYFUNCTION("""COMPUTED_VALUE"""),70)</f>
        <v>70</v>
      </c>
      <c r="I236">
        <f ca="1">IFERROR(__xludf.DUMMYFUNCTION("""COMPUTED_VALUE"""),5786)</f>
        <v>5786</v>
      </c>
      <c r="J236" t="str">
        <f ca="1">IFERROR(__xludf.DUMMYFUNCTION("""COMPUTED_VALUE"""),"1617 (46720-428-40060) КРИВОЙ РОГ - БЕРЕГОВАЯ-Э")</f>
        <v>1617 (46720-428-40060) КРИВОЙ РОГ - БЕРЕГОВАЯ-Э</v>
      </c>
      <c r="K236">
        <f ca="1">IFERROR(__xludf.DUMMYFUNCTION("""COMPUTED_VALUE"""),40050)</f>
        <v>40050</v>
      </c>
      <c r="L236" t="str">
        <f ca="1">IFERROR(__xludf.DUMMYFUNCTION("""COMPUTED_VALUE"""),"БЕРЕГОВАЯ")</f>
        <v>БЕРЕГОВАЯ</v>
      </c>
      <c r="M236" t="str">
        <f ca="1">IFERROR(__xludf.DUMMYFUNCTION("""COMPUTED_VALUE"""),"11.08.21 23-20")</f>
        <v>11.08.21 23-20</v>
      </c>
      <c r="N236" t="str">
        <f ca="1">IFERROR(__xludf.DUMMYFUNCTION("""COMPUTED_VALUE"""),"21 ВЫГ2")</f>
        <v>21 ВЫГ2</v>
      </c>
      <c r="O236">
        <f ca="1">IFERROR(__xludf.DUMMYFUNCTION("""COMPUTED_VALUE"""),40060)</f>
        <v>40060</v>
      </c>
      <c r="P236" t="str">
        <f ca="1">IFERROR(__xludf.DUMMYFUNCTION("""COMPUTED_VALUE"""),"БЕРЕГОВАЯ-Э")</f>
        <v>БЕРЕГОВАЯ-Э</v>
      </c>
      <c r="Q236">
        <f ca="1">IFERROR(__xludf.DUMMYFUNCTION("""COMPUTED_VALUE"""),46720)</f>
        <v>46720</v>
      </c>
      <c r="R236" t="str">
        <f ca="1">IFERROR(__xludf.DUMMYFUNCTION("""COMPUTED_VALUE"""),"КРИВОЙ РОГ")</f>
        <v>КРИВОЙ РОГ</v>
      </c>
      <c r="S236" t="str">
        <f ca="1">IFERROR(__xludf.DUMMYFUNCTION("""COMPUTED_VALUE"""),"09.08.21 19-10")</f>
        <v>09.08.21 19-10</v>
      </c>
      <c r="U236" t="str">
        <f ca="1">IFERROR(__xludf.DUMMYFUNCTION("""COMPUTED_VALUE"""),"24.12.2022 ДР")</f>
        <v>24.12.2022 ДР</v>
      </c>
      <c r="Z236" t="str">
        <f ca="1">IFERROR(__xludf.DUMMYFUNCTION("""COMPUTED_VALUE"""),"ООО «ТД АЗОВМАШЭКСПОРТ»")</f>
        <v>ООО «ТД АЗОВМАШЭКСПОРТ»</v>
      </c>
      <c r="AA236" t="str">
        <f ca="1">IFERROR(__xludf.DUMMYFUNCTION("""COMPUTED_VALUE"""),"12-1704-04")</f>
        <v>12-1704-04</v>
      </c>
      <c r="AB236" t="str">
        <f ca="1">IFERROR(__xludf.DUMMYFUNCTION("""COMPUTED_VALUE"""),"13 БЕЛ")</f>
        <v>13 БЕЛ</v>
      </c>
      <c r="AC236" t="str">
        <f ca="1">IFERROR(__xludf.DUMMYFUNCTION("""COMPUTED_VALUE"""),"15380 КАЛИНКОВИЧИ")</f>
        <v>15380 КАЛИНКОВИЧИ</v>
      </c>
      <c r="AD236" t="str">
        <f ca="1">IFERROR(__xludf.DUMMYFUNCTION("""COMPUTED_VALUE"""),"02.03.21 02-49")</f>
        <v>02.03.21 02-49</v>
      </c>
      <c r="AE236" t="str">
        <f ca="1">IFERROR(__xludf.DUMMYFUNCTION("""COMPUTED_VALUE"""),"403 НEИCПPAВНОСТЬ ВOЗДУXOPACПPEДEЛИТEЛЯ")</f>
        <v>403 НEИCПPAВНОСТЬ ВOЗДУXOPACПPEДEЛИТEЛЯ</v>
      </c>
      <c r="AF236" t="str">
        <f ca="1">IFERROR(__xludf.DUMMYFUNCTION("""COMPUTED_VALUE"""),"13 БЕЛ")</f>
        <v>13 БЕЛ</v>
      </c>
      <c r="AG236" t="str">
        <f ca="1">IFERROR(__xludf.DUMMYFUNCTION("""COMPUTED_VALUE"""),"15000 ГОМЕЛЬ")</f>
        <v>15000 ГОМЕЛЬ</v>
      </c>
      <c r="AH236" t="str">
        <f ca="1">IFERROR(__xludf.DUMMYFUNCTION("""COMPUTED_VALUE"""),"03.03.21 17-03")</f>
        <v>03.03.21 17-03</v>
      </c>
      <c r="AI236" s="21">
        <f ca="1">IFERROR(__xludf.DUMMYFUNCTION("""COMPUTED_VALUE"""),44420.357662037)</f>
        <v>44420.357662037</v>
      </c>
    </row>
    <row r="237" spans="1:35" ht="13" x14ac:dyDescent="0.15">
      <c r="A237">
        <f ca="1">IFERROR(__xludf.DUMMYFUNCTION("""COMPUTED_VALUE"""),840)</f>
        <v>840</v>
      </c>
      <c r="B237" t="str">
        <f ca="1">IFERROR(__xludf.DUMMYFUNCTION("""COMPUTED_VALUE"""),"Техрейс")</f>
        <v>Техрейс</v>
      </c>
      <c r="C237" t="str">
        <f ca="1">IFERROR(__xludf.DUMMYFUNCTION("""COMPUTED_VALUE"""),"ТД АЗОВМАШЭКСПОРТ")</f>
        <v>ТД АЗОВМАШЭКСПОРТ</v>
      </c>
      <c r="D237">
        <f ca="1">IFERROR(__xludf.DUMMYFUNCTION("""COMPUTED_VALUE"""),61280426)</f>
        <v>61280426</v>
      </c>
      <c r="E237" t="str">
        <f ca="1">IFERROR(__xludf.DUMMYFUNCTION("""COMPUTED_VALUE"""),"60 ПОЛУВАГОНЫ")</f>
        <v>60 ПОЛУВАГОНЫ</v>
      </c>
      <c r="F237">
        <f ca="1">IFERROR(__xludf.DUMMYFUNCTION("""COMPUTED_VALUE"""),14109)</f>
        <v>14109</v>
      </c>
      <c r="G237" t="str">
        <f ca="1">IFERROR(__xludf.DUMMYFUNCTION("""COMPUTED_VALUE"""),"ГЕМАТИТ")</f>
        <v>ГЕМАТИТ</v>
      </c>
      <c r="H237">
        <f ca="1">IFERROR(__xludf.DUMMYFUNCTION("""COMPUTED_VALUE"""),70)</f>
        <v>70</v>
      </c>
      <c r="I237">
        <f ca="1">IFERROR(__xludf.DUMMYFUNCTION("""COMPUTED_VALUE"""),5786)</f>
        <v>5786</v>
      </c>
      <c r="J237" t="str">
        <f ca="1">IFERROR(__xludf.DUMMYFUNCTION("""COMPUTED_VALUE"""),"1609 (46720-447-40050) КРИВОЙ РОГ - БЕРЕГОВАЯ")</f>
        <v>1609 (46720-447-40050) КРИВОЙ РОГ - БЕРЕГОВАЯ</v>
      </c>
      <c r="K237">
        <f ca="1">IFERROR(__xludf.DUMMYFUNCTION("""COMPUTED_VALUE"""),40050)</f>
        <v>40050</v>
      </c>
      <c r="L237" t="str">
        <f ca="1">IFERROR(__xludf.DUMMYFUNCTION("""COMPUTED_VALUE"""),"БЕРЕГОВАЯ")</f>
        <v>БЕРЕГОВАЯ</v>
      </c>
      <c r="M237" t="str">
        <f ca="1">IFERROR(__xludf.DUMMYFUNCTION("""COMPUTED_VALUE"""),"12.08.21 07-31")</f>
        <v>12.08.21 07-31</v>
      </c>
      <c r="N237" t="str">
        <f ca="1">IFERROR(__xludf.DUMMYFUNCTION("""COMPUTED_VALUE"""),"04 РАСФ")</f>
        <v>04 РАСФ</v>
      </c>
      <c r="O237">
        <f ca="1">IFERROR(__xludf.DUMMYFUNCTION("""COMPUTED_VALUE"""),40060)</f>
        <v>40060</v>
      </c>
      <c r="P237" t="str">
        <f ca="1">IFERROR(__xludf.DUMMYFUNCTION("""COMPUTED_VALUE"""),"БЕРЕГОВАЯ-Э")</f>
        <v>БЕРЕГОВАЯ-Э</v>
      </c>
      <c r="Q237">
        <f ca="1">IFERROR(__xludf.DUMMYFUNCTION("""COMPUTED_VALUE"""),46720)</f>
        <v>46720</v>
      </c>
      <c r="R237" t="str">
        <f ca="1">IFERROR(__xludf.DUMMYFUNCTION("""COMPUTED_VALUE"""),"КРИВОЙ РОГ")</f>
        <v>КРИВОЙ РОГ</v>
      </c>
      <c r="S237" t="str">
        <f ca="1">IFERROR(__xludf.DUMMYFUNCTION("""COMPUTED_VALUE"""),"11.08.21 03-10")</f>
        <v>11.08.21 03-10</v>
      </c>
      <c r="T237">
        <f ca="1">IFERROR(__xludf.DUMMYFUNCTION("""COMPUTED_VALUE"""),5343)</f>
        <v>5343</v>
      </c>
      <c r="U237" t="str">
        <f ca="1">IFERROR(__xludf.DUMMYFUNCTION("""COMPUTED_VALUE"""),"26.03.2023 ДР")</f>
        <v>26.03.2023 ДР</v>
      </c>
      <c r="Z237" t="str">
        <f ca="1">IFERROR(__xludf.DUMMYFUNCTION("""COMPUTED_VALUE"""),"ООО «ТД АЗОВМАШЭКСПОРТ»")</f>
        <v>ООО «ТД АЗОВМАШЭКСПОРТ»</v>
      </c>
      <c r="AA237" t="str">
        <f ca="1">IFERROR(__xludf.DUMMYFUNCTION("""COMPUTED_VALUE"""),"12-1704-04")</f>
        <v>12-1704-04</v>
      </c>
      <c r="AI237" s="21">
        <f ca="1">IFERROR(__xludf.DUMMYFUNCTION("""COMPUTED_VALUE"""),44420.357662037)</f>
        <v>44420.357662037</v>
      </c>
    </row>
    <row r="238" spans="1:35" ht="13" x14ac:dyDescent="0.15">
      <c r="A238">
        <f ca="1">IFERROR(__xludf.DUMMYFUNCTION("""COMPUTED_VALUE"""),841)</f>
        <v>841</v>
      </c>
      <c r="B238" t="str">
        <f ca="1">IFERROR(__xludf.DUMMYFUNCTION("""COMPUTED_VALUE"""),"Техрейс")</f>
        <v>Техрейс</v>
      </c>
      <c r="C238" t="str">
        <f ca="1">IFERROR(__xludf.DUMMYFUNCTION("""COMPUTED_VALUE"""),"ТД АЗОВМАШЭКСПОРТ")</f>
        <v>ТД АЗОВМАШЭКСПОРТ</v>
      </c>
      <c r="D238">
        <f ca="1">IFERROR(__xludf.DUMMYFUNCTION("""COMPUTED_VALUE"""),61281523)</f>
        <v>61281523</v>
      </c>
      <c r="E238" t="str">
        <f ca="1">IFERROR(__xludf.DUMMYFUNCTION("""COMPUTED_VALUE"""),"60 ПОЛУВАГОНЫ")</f>
        <v>60 ПОЛУВАГОНЫ</v>
      </c>
      <c r="F238">
        <f ca="1">IFERROR(__xludf.DUMMYFUNCTION("""COMPUTED_VALUE"""),16120)</f>
        <v>16120</v>
      </c>
      <c r="G238" t="str">
        <f ca="1">IFERROR(__xludf.DUMMYFUNCTION("""COMPUTED_VALUE"""),"УГОЛЬ КАМЕН ПР")</f>
        <v>УГОЛЬ КАМЕН ПР</v>
      </c>
      <c r="H238">
        <f ca="1">IFERROR(__xludf.DUMMYFUNCTION("""COMPUTED_VALUE"""),70)</f>
        <v>70</v>
      </c>
      <c r="I238">
        <f ca="1">IFERROR(__xludf.DUMMYFUNCTION("""COMPUTED_VALUE"""),7253)</f>
        <v>7253</v>
      </c>
      <c r="J238" t="str">
        <f ca="1">IFERROR(__xludf.DUMMYFUNCTION("""COMPUTED_VALUE"""),"9504 (40050-063-45000) БЕРЕГОВАЯ - НИЖНЕДН-УЗЕЛ")</f>
        <v>9504 (40050-063-45000) БЕРЕГОВАЯ - НИЖНЕДН-УЗЕЛ</v>
      </c>
      <c r="K238">
        <f ca="1">IFERROR(__xludf.DUMMYFUNCTION("""COMPUTED_VALUE"""),45000)</f>
        <v>45000</v>
      </c>
      <c r="L238" t="str">
        <f ca="1">IFERROR(__xludf.DUMMYFUNCTION("""COMPUTED_VALUE"""),"НИЖНЕДН-УЗЕЛ")</f>
        <v>НИЖНЕДН-УЗЕЛ</v>
      </c>
      <c r="M238" t="str">
        <f ca="1">IFERROR(__xludf.DUMMYFUNCTION("""COMPUTED_VALUE"""),"11.08.21 21-24")</f>
        <v>11.08.21 21-24</v>
      </c>
      <c r="N238" t="str">
        <f ca="1">IFERROR(__xludf.DUMMYFUNCTION("""COMPUTED_VALUE"""),"04 РАСФ")</f>
        <v>04 РАСФ</v>
      </c>
      <c r="O238">
        <f ca="1">IFERROR(__xludf.DUMMYFUNCTION("""COMPUTED_VALUE"""),48280)</f>
        <v>48280</v>
      </c>
      <c r="P238" t="str">
        <f ca="1">IFERROR(__xludf.DUMMYFUNCTION("""COMPUTED_VALUE"""),"АВДЕЕВКА")</f>
        <v>АВДЕЕВКА</v>
      </c>
      <c r="Q238">
        <f ca="1">IFERROR(__xludf.DUMMYFUNCTION("""COMPUTED_VALUE"""),40060)</f>
        <v>40060</v>
      </c>
      <c r="R238" t="str">
        <f ca="1">IFERROR(__xludf.DUMMYFUNCTION("""COMPUTED_VALUE"""),"БЕРЕГОВАЯ-Э")</f>
        <v>БЕРЕГОВАЯ-Э</v>
      </c>
      <c r="S238" t="str">
        <f ca="1">IFERROR(__xludf.DUMMYFUNCTION("""COMPUTED_VALUE"""),"10.08.21 11-55")</f>
        <v>10.08.21 11-55</v>
      </c>
      <c r="T238">
        <f ca="1">IFERROR(__xludf.DUMMYFUNCTION("""COMPUTED_VALUE"""),1100)</f>
        <v>1100</v>
      </c>
      <c r="U238" t="str">
        <f ca="1">IFERROR(__xludf.DUMMYFUNCTION("""COMPUTED_VALUE"""),"26.03.2023 ДР")</f>
        <v>26.03.2023 ДР</v>
      </c>
      <c r="Z238" t="str">
        <f ca="1">IFERROR(__xludf.DUMMYFUNCTION("""COMPUTED_VALUE"""),"ООО «ТД АЗОВМАШЭКСПОРТ»")</f>
        <v>ООО «ТД АЗОВМАШЭКСПОРТ»</v>
      </c>
      <c r="AA238" t="str">
        <f ca="1">IFERROR(__xludf.DUMMYFUNCTION("""COMPUTED_VALUE"""),"12-1704-04")</f>
        <v>12-1704-04</v>
      </c>
      <c r="AI238" s="21">
        <f ca="1">IFERROR(__xludf.DUMMYFUNCTION("""COMPUTED_VALUE"""),44420.357662037)</f>
        <v>44420.357662037</v>
      </c>
    </row>
    <row r="239" spans="1:35" ht="13" x14ac:dyDescent="0.15">
      <c r="A239">
        <f ca="1">IFERROR(__xludf.DUMMYFUNCTION("""COMPUTED_VALUE"""),842)</f>
        <v>842</v>
      </c>
      <c r="B239" t="str">
        <f ca="1">IFERROR(__xludf.DUMMYFUNCTION("""COMPUTED_VALUE"""),"Техрейс")</f>
        <v>Техрейс</v>
      </c>
      <c r="C239" t="str">
        <f ca="1">IFERROR(__xludf.DUMMYFUNCTION("""COMPUTED_VALUE"""),"ЛЬОНАГРОПРОМ")</f>
        <v>ЛЬОНАГРОПРОМ</v>
      </c>
      <c r="D239">
        <f ca="1">IFERROR(__xludf.DUMMYFUNCTION("""COMPUTED_VALUE"""),52771839)</f>
        <v>52771839</v>
      </c>
      <c r="E239" t="str">
        <f ca="1">IFERROR(__xludf.DUMMYFUNCTION("""COMPUTED_VALUE"""),"60 ПОЛУВАГОНЫ")</f>
        <v>60 ПОЛУВАГОНЫ</v>
      </c>
      <c r="F239">
        <f ca="1">IFERROR(__xludf.DUMMYFUNCTION("""COMPUTED_VALUE"""),53106)</f>
        <v>53106</v>
      </c>
      <c r="G239" t="str">
        <f ca="1">IFERROR(__xludf.DUMMYFUNCTION("""COMPUTED_VALUE"""),"СОЛЬ ТЕХНИЧ")</f>
        <v>СОЛЬ ТЕХНИЧ</v>
      </c>
      <c r="H239">
        <f ca="1">IFERROR(__xludf.DUMMYFUNCTION("""COMPUTED_VALUE"""),69)</f>
        <v>69</v>
      </c>
      <c r="I239">
        <f ca="1">IFERROR(__xludf.DUMMYFUNCTION("""COMPUTED_VALUE"""),1000)</f>
        <v>1000</v>
      </c>
      <c r="J239" t="str">
        <f ca="1">IFERROR(__xludf.DUMMYFUNCTION("""COMPUTED_VALUE"""),"3081 (36000-048-37980) ТЕРНОПОЛЬ - КРАСНЕ")</f>
        <v>3081 (36000-048-37980) ТЕРНОПОЛЬ - КРАСНЕ</v>
      </c>
      <c r="K239">
        <f ca="1">IFERROR(__xludf.DUMMYFUNCTION("""COMPUTED_VALUE"""),37980)</f>
        <v>37980</v>
      </c>
      <c r="L239" t="str">
        <f ca="1">IFERROR(__xludf.DUMMYFUNCTION("""COMPUTED_VALUE"""),"КРАСНЕ")</f>
        <v>КРАСНЕ</v>
      </c>
      <c r="M239" t="str">
        <f ca="1">IFERROR(__xludf.DUMMYFUNCTION("""COMPUTED_VALUE"""),"11.08.21 11-00")</f>
        <v>11.08.21 11-00</v>
      </c>
      <c r="N239" t="str">
        <f ca="1">IFERROR(__xludf.DUMMYFUNCTION("""COMPUTED_VALUE"""),"85 ПРСТ")</f>
        <v>85 ПРСТ</v>
      </c>
      <c r="O239">
        <f ca="1">IFERROR(__xludf.DUMMYFUNCTION("""COMPUTED_VALUE"""),38260)</f>
        <v>38260</v>
      </c>
      <c r="P239" t="str">
        <f ca="1">IFERROR(__xludf.DUMMYFUNCTION("""COMPUTED_VALUE"""),"БАТЕВО-Э МАВ")</f>
        <v>БАТЕВО-Э МАВ</v>
      </c>
      <c r="Q239">
        <f ca="1">IFERROR(__xludf.DUMMYFUNCTION("""COMPUTED_VALUE"""),49480)</f>
        <v>49480</v>
      </c>
      <c r="R239" t="str">
        <f ca="1">IFERROR(__xludf.DUMMYFUNCTION("""COMPUTED_VALUE"""),"СОЛЬ")</f>
        <v>СОЛЬ</v>
      </c>
      <c r="S239" t="str">
        <f ca="1">IFERROR(__xludf.DUMMYFUNCTION("""COMPUTED_VALUE"""),"02.08.21 15-35")</f>
        <v>02.08.21 15-35</v>
      </c>
      <c r="T239">
        <f ca="1">IFERROR(__xludf.DUMMYFUNCTION("""COMPUTED_VALUE"""),4714)</f>
        <v>4714</v>
      </c>
      <c r="U239" t="str">
        <f ca="1">IFERROR(__xludf.DUMMYFUNCTION("""COMPUTED_VALUE"""),"28.03.2022 ДР")</f>
        <v>28.03.2022 ДР</v>
      </c>
      <c r="Z239" t="str">
        <f ca="1">IFERROR(__xludf.DUMMYFUNCTION("""COMPUTED_VALUE"""),"ООО «Ленагропром»")</f>
        <v>ООО «Ленагропром»</v>
      </c>
      <c r="AA239" t="str">
        <f ca="1">IFERROR(__xludf.DUMMYFUNCTION("""COMPUTED_VALUE"""),"12-757")</f>
        <v>12-757</v>
      </c>
      <c r="AB239" t="str">
        <f ca="1">IFERROR(__xludf.DUMMYFUNCTION("""COMPUTED_VALUE"""),"48 ДОН")</f>
        <v>48 ДОН</v>
      </c>
      <c r="AC239" t="str">
        <f ca="1">IFERROR(__xludf.DUMMYFUNCTION("""COMPUTED_VALUE"""),"49480 СОЛЬ")</f>
        <v>49480 СОЛЬ</v>
      </c>
      <c r="AD239" t="str">
        <f ca="1">IFERROR(__xludf.DUMMYFUNCTION("""COMPUTED_VALUE"""),"26.07.21 12-30")</f>
        <v>26.07.21 12-30</v>
      </c>
      <c r="AE239" t="str">
        <f ca="1">IFERROR(__xludf.DUMMYFUNCTION("""COMPUTED_VALUE"""),"540 НEИCПPAВНOCТЬ ЗAПOPA ЛЮКA")</f>
        <v>540 НEИCПPAВНOCТЬ ЗAПOPA ЛЮКA</v>
      </c>
      <c r="AF239" t="str">
        <f ca="1">IFERROR(__xludf.DUMMYFUNCTION("""COMPUTED_VALUE"""),"48 ДОН")</f>
        <v>48 ДОН</v>
      </c>
      <c r="AG239" t="str">
        <f ca="1">IFERROR(__xludf.DUMMYFUNCTION("""COMPUTED_VALUE"""),"49480 СОЛЬ")</f>
        <v>49480 СОЛЬ</v>
      </c>
      <c r="AH239" t="str">
        <f ca="1">IFERROR(__xludf.DUMMYFUNCTION("""COMPUTED_VALUE"""),"30.07.21 16-30")</f>
        <v>30.07.21 16-30</v>
      </c>
      <c r="AI239" s="21">
        <f ca="1">IFERROR(__xludf.DUMMYFUNCTION("""COMPUTED_VALUE"""),44420.357662037)</f>
        <v>44420.357662037</v>
      </c>
    </row>
    <row r="240" spans="1:35" ht="13" x14ac:dyDescent="0.15">
      <c r="A240">
        <f ca="1">IFERROR(__xludf.DUMMYFUNCTION("""COMPUTED_VALUE"""),843)</f>
        <v>843</v>
      </c>
      <c r="B240" t="str">
        <f ca="1">IFERROR(__xludf.DUMMYFUNCTION("""COMPUTED_VALUE"""),"Лидер")</f>
        <v>Лидер</v>
      </c>
      <c r="C240" t="str">
        <f ca="1">IFERROR(__xludf.DUMMYFUNCTION("""COMPUTED_VALUE"""),"ЛЬОНАГРОПРОМ")</f>
        <v>ЛЬОНАГРОПРОМ</v>
      </c>
      <c r="D240">
        <f ca="1">IFERROR(__xludf.DUMMYFUNCTION("""COMPUTED_VALUE"""),56377179)</f>
        <v>56377179</v>
      </c>
      <c r="E240" t="str">
        <f ca="1">IFERROR(__xludf.DUMMYFUNCTION("""COMPUTED_VALUE"""),"60 ПОЛУВАГОНЫ")</f>
        <v>60 ПОЛУВАГОНЫ</v>
      </c>
      <c r="F240">
        <f ca="1">IFERROR(__xludf.DUMMYFUNCTION("""COMPUTED_VALUE"""),42103)</f>
        <v>42103</v>
      </c>
      <c r="G240" t="str">
        <f ca="1">IFERROR(__xludf.DUMMYFUNCTION("""COMPUTED_VALUE"""),"ВАГОНЫ ЖД СВ")</f>
        <v>ВАГОНЫ ЖД СВ</v>
      </c>
      <c r="H240">
        <f ca="1">IFERROR(__xludf.DUMMYFUNCTION("""COMPUTED_VALUE"""),0)</f>
        <v>0</v>
      </c>
      <c r="I240">
        <f ca="1">IFERROR(__xludf.DUMMYFUNCTION("""COMPUTED_VALUE"""),3437)</f>
        <v>3437</v>
      </c>
      <c r="J240" t="str">
        <f ca="1">IFERROR(__xludf.DUMMYFUNCTION("""COMPUTED_VALUE"""),"2511 (32000-595-34750) ДАРНИЦА - ПЕНИЗЕВИЧИ")</f>
        <v>2511 (32000-595-34750) ДАРНИЦА - ПЕНИЗЕВИЧИ</v>
      </c>
      <c r="K240">
        <f ca="1">IFERROR(__xludf.DUMMYFUNCTION("""COMPUTED_VALUE"""),34750)</f>
        <v>34750</v>
      </c>
      <c r="L240" t="str">
        <f ca="1">IFERROR(__xludf.DUMMYFUNCTION("""COMPUTED_VALUE"""),"ПЕНИЗЕВИЧИ")</f>
        <v>ПЕНИЗЕВИЧИ</v>
      </c>
      <c r="M240" t="str">
        <f ca="1">IFERROR(__xludf.DUMMYFUNCTION("""COMPUTED_VALUE"""),"12.08.21 07-50")</f>
        <v>12.08.21 07-50</v>
      </c>
      <c r="N240" t="str">
        <f ca="1">IFERROR(__xludf.DUMMYFUNCTION("""COMPUTED_VALUE"""),"98 ОТОТ")</f>
        <v>98 ОТОТ</v>
      </c>
      <c r="O240">
        <f ca="1">IFERROR(__xludf.DUMMYFUNCTION("""COMPUTED_VALUE"""),34750)</f>
        <v>34750</v>
      </c>
      <c r="P240" t="str">
        <f ca="1">IFERROR(__xludf.DUMMYFUNCTION("""COMPUTED_VALUE"""),"ПЕНИЗЕВИЧИ")</f>
        <v>ПЕНИЗЕВИЧИ</v>
      </c>
      <c r="Q240">
        <f ca="1">IFERROR(__xludf.DUMMYFUNCTION("""COMPUTED_VALUE"""),49870)</f>
        <v>49870</v>
      </c>
      <c r="R240" t="str">
        <f ca="1">IFERROR(__xludf.DUMMYFUNCTION("""COMPUTED_VALUE"""),"РУБЕЖНОЕ")</f>
        <v>РУБЕЖНОЕ</v>
      </c>
      <c r="S240" t="str">
        <f ca="1">IFERROR(__xludf.DUMMYFUNCTION("""COMPUTED_VALUE"""),"04.08.21 22-00")</f>
        <v>04.08.21 22-00</v>
      </c>
      <c r="T240">
        <f ca="1">IFERROR(__xludf.DUMMYFUNCTION("""COMPUTED_VALUE"""),2992)</f>
        <v>2992</v>
      </c>
      <c r="U240" t="str">
        <f ca="1">IFERROR(__xludf.DUMMYFUNCTION("""COMPUTED_VALUE"""),"14.03.2024 ДР")</f>
        <v>14.03.2024 ДР</v>
      </c>
      <c r="Z240" t="str">
        <f ca="1">IFERROR(__xludf.DUMMYFUNCTION("""COMPUTED_VALUE"""),"ООО «Ленагропром»")</f>
        <v>ООО «Ленагропром»</v>
      </c>
      <c r="AA240" t="str">
        <f ca="1">IFERROR(__xludf.DUMMYFUNCTION("""COMPUTED_VALUE"""),"12-141")</f>
        <v>12-141</v>
      </c>
      <c r="AB240" t="str">
        <f ca="1">IFERROR(__xludf.DUMMYFUNCTION("""COMPUTED_VALUE"""),"32 Ю-ЗАП")</f>
        <v>32 Ю-ЗАП</v>
      </c>
      <c r="AC240" t="str">
        <f ca="1">IFERROR(__xludf.DUMMYFUNCTION("""COMPUTED_VALUE"""),"33000 ЖМЕРИНКА")</f>
        <v>33000 ЖМЕРИНКА</v>
      </c>
      <c r="AD240" t="str">
        <f ca="1">IFERROR(__xludf.DUMMYFUNCTION("""COMPUTED_VALUE"""),"14.03.21 17-14")</f>
        <v>14.03.21 17-14</v>
      </c>
      <c r="AE240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240" t="str">
        <f ca="1">IFERROR(__xludf.DUMMYFUNCTION("""COMPUTED_VALUE"""),"32 Ю-ЗАП")</f>
        <v>32 Ю-ЗАП</v>
      </c>
      <c r="AG240" t="str">
        <f ca="1">IFERROR(__xludf.DUMMYFUNCTION("""COMPUTED_VALUE"""),"33000 ЖМЕРИНКА")</f>
        <v>33000 ЖМЕРИНКА</v>
      </c>
      <c r="AH240" t="str">
        <f ca="1">IFERROR(__xludf.DUMMYFUNCTION("""COMPUTED_VALUE"""),"14.03.21 17-48")</f>
        <v>14.03.21 17-48</v>
      </c>
      <c r="AI240" s="21">
        <f ca="1">IFERROR(__xludf.DUMMYFUNCTION("""COMPUTED_VALUE"""),44420.357662037)</f>
        <v>44420.357662037</v>
      </c>
    </row>
    <row r="241" spans="1:35" ht="13" x14ac:dyDescent="0.15">
      <c r="A241">
        <f ca="1">IFERROR(__xludf.DUMMYFUNCTION("""COMPUTED_VALUE"""),844)</f>
        <v>844</v>
      </c>
      <c r="B241" t="str">
        <f ca="1">IFERROR(__xludf.DUMMYFUNCTION("""COMPUTED_VALUE"""),"Техрейс")</f>
        <v>Техрейс</v>
      </c>
      <c r="C241" t="str">
        <f ca="1">IFERROR(__xludf.DUMMYFUNCTION("""COMPUTED_VALUE"""),"ЛЬОНАГРОПРОМ")</f>
        <v>ЛЬОНАГРОПРОМ</v>
      </c>
      <c r="D241">
        <f ca="1">IFERROR(__xludf.DUMMYFUNCTION("""COMPUTED_VALUE"""),56465370)</f>
        <v>56465370</v>
      </c>
      <c r="E241" t="str">
        <f ca="1">IFERROR(__xludf.DUMMYFUNCTION("""COMPUTED_VALUE"""),"60 ПОЛУВАГОНЫ")</f>
        <v>60 ПОЛУВАГОНЫ</v>
      </c>
      <c r="F241">
        <f ca="1">IFERROR(__xludf.DUMMYFUNCTION("""COMPUTED_VALUE"""),24133)</f>
        <v>24133</v>
      </c>
      <c r="G241" t="str">
        <f ca="1">IFERROR(__xludf.DUMMYFUNCTION("""COMPUTED_VALUE"""),"КАМЕНЬ ИЗВЕСТ")</f>
        <v>КАМЕНЬ ИЗВЕСТ</v>
      </c>
      <c r="H241">
        <f ca="1">IFERROR(__xludf.DUMMYFUNCTION("""COMPUTED_VALUE"""),70)</f>
        <v>70</v>
      </c>
      <c r="I241">
        <f ca="1">IFERROR(__xludf.DUMMYFUNCTION("""COMPUTED_VALUE"""),2421)</f>
        <v>2421</v>
      </c>
      <c r="J241" t="str">
        <f ca="1">IFERROR(__xludf.DUMMYFUNCTION("""COMPUTED_VALUE"""),"3105 (41780-031-41510) ХЕРСОН - НИКОЛАЕВ")</f>
        <v>3105 (41780-031-41510) ХЕРСОН - НИКОЛАЕВ</v>
      </c>
      <c r="K241">
        <f ca="1">IFERROR(__xludf.DUMMYFUNCTION("""COMPUTED_VALUE"""),41510)</f>
        <v>41510</v>
      </c>
      <c r="L241" t="str">
        <f ca="1">IFERROR(__xludf.DUMMYFUNCTION("""COMPUTED_VALUE"""),"НИКОЛАЕВ")</f>
        <v>НИКОЛАЕВ</v>
      </c>
      <c r="M241" t="str">
        <f ca="1">IFERROR(__xludf.DUMMYFUNCTION("""COMPUTED_VALUE"""),"11.08.21 12-10")</f>
        <v>11.08.21 12-10</v>
      </c>
      <c r="N241" t="str">
        <f ca="1">IFERROR(__xludf.DUMMYFUNCTION("""COMPUTED_VALUE"""),"04 РАСФ")</f>
        <v>04 РАСФ</v>
      </c>
      <c r="O241">
        <f ca="1">IFERROR(__xludf.DUMMYFUNCTION("""COMPUTED_VALUE"""),32210)</f>
        <v>32210</v>
      </c>
      <c r="P241" t="str">
        <f ca="1">IFERROR(__xludf.DUMMYFUNCTION("""COMPUTED_VALUE"""),"БУЧА")</f>
        <v>БУЧА</v>
      </c>
      <c r="Q241">
        <f ca="1">IFERROR(__xludf.DUMMYFUNCTION("""COMPUTED_VALUE"""),41790)</f>
        <v>41790</v>
      </c>
      <c r="R241" t="str">
        <f ca="1">IFERROR(__xludf.DUMMYFUNCTION("""COMPUTED_VALUE"""),"ХЕРСОН-ПОРТ")</f>
        <v>ХЕРСОН-ПОРТ</v>
      </c>
      <c r="S241" t="str">
        <f ca="1">IFERROR(__xludf.DUMMYFUNCTION("""COMPUTED_VALUE"""),"08.08.21 17-15")</f>
        <v>08.08.21 17-15</v>
      </c>
      <c r="T241">
        <f ca="1">IFERROR(__xludf.DUMMYFUNCTION("""COMPUTED_VALUE"""),9120)</f>
        <v>9120</v>
      </c>
      <c r="U241" t="str">
        <f ca="1">IFERROR(__xludf.DUMMYFUNCTION("""COMPUTED_VALUE"""),"09.11.2023 ДР")</f>
        <v>09.11.2023 ДР</v>
      </c>
      <c r="Z241" t="str">
        <f ca="1">IFERROR(__xludf.DUMMYFUNCTION("""COMPUTED_VALUE"""),"ООО «Ленагропром»")</f>
        <v>ООО «Ленагропром»</v>
      </c>
      <c r="AA241" t="str">
        <f ca="1">IFERROR(__xludf.DUMMYFUNCTION("""COMPUTED_VALUE"""),"12-141")</f>
        <v>12-141</v>
      </c>
      <c r="AB241" t="str">
        <f ca="1">IFERROR(__xludf.DUMMYFUNCTION("""COMPUTED_VALUE"""),"32 Ю-ЗАП")</f>
        <v>32 Ю-ЗАП</v>
      </c>
      <c r="AC241" t="str">
        <f ca="1">IFERROR(__xludf.DUMMYFUNCTION("""COMPUTED_VALUE"""),"33000 ЖМЕРИНКА")</f>
        <v>33000 ЖМЕРИНКА</v>
      </c>
      <c r="AD241" t="str">
        <f ca="1">IFERROR(__xludf.DUMMYFUNCTION("""COMPUTED_VALUE"""),"06.11.20 10-16")</f>
        <v>06.11.20 10-16</v>
      </c>
      <c r="AE241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241" t="str">
        <f ca="1">IFERROR(__xludf.DUMMYFUNCTION("""COMPUTED_VALUE"""),"32 Ю-ЗАП")</f>
        <v>32 Ю-ЗАП</v>
      </c>
      <c r="AG241" t="str">
        <f ca="1">IFERROR(__xludf.DUMMYFUNCTION("""COMPUTED_VALUE"""),"33000 ЖМЕРИНКА")</f>
        <v>33000 ЖМЕРИНКА</v>
      </c>
      <c r="AH241" t="str">
        <f ca="1">IFERROR(__xludf.DUMMYFUNCTION("""COMPUTED_VALUE"""),"09.11.20 11-13")</f>
        <v>09.11.20 11-13</v>
      </c>
      <c r="AI241" s="21">
        <f ca="1">IFERROR(__xludf.DUMMYFUNCTION("""COMPUTED_VALUE"""),44420.357662037)</f>
        <v>44420.357662037</v>
      </c>
    </row>
    <row r="242" spans="1:35" ht="13" x14ac:dyDescent="0.15">
      <c r="A242">
        <f ca="1">IFERROR(__xludf.DUMMYFUNCTION("""COMPUTED_VALUE"""),845)</f>
        <v>845</v>
      </c>
      <c r="B242" t="str">
        <f ca="1">IFERROR(__xludf.DUMMYFUNCTION("""COMPUTED_VALUE"""),"Техрейс")</f>
        <v>Техрейс</v>
      </c>
      <c r="C242" t="str">
        <f ca="1">IFERROR(__xludf.DUMMYFUNCTION("""COMPUTED_VALUE"""),"ЛЬОНАГРОПРОМ")</f>
        <v>ЛЬОНАГРОПРОМ</v>
      </c>
      <c r="D242">
        <f ca="1">IFERROR(__xludf.DUMMYFUNCTION("""COMPUTED_VALUE"""),66385709)</f>
        <v>66385709</v>
      </c>
      <c r="E242" t="str">
        <f ca="1">IFERROR(__xludf.DUMMYFUNCTION("""COMPUTED_VALUE"""),"60 ПОЛУВАГОНЫ")</f>
        <v>60 ПОЛУВАГОНЫ</v>
      </c>
      <c r="F242">
        <f ca="1">IFERROR(__xludf.DUMMYFUNCTION("""COMPUTED_VALUE"""),43619)</f>
        <v>43619</v>
      </c>
      <c r="G242" t="str">
        <f ca="1">IFERROR(__xludf.DUMMYFUNCTION("""COMPUTED_VALUE"""),"УДОБР ХИМ ПР")</f>
        <v>УДОБР ХИМ ПР</v>
      </c>
      <c r="H242">
        <f ca="1">IFERROR(__xludf.DUMMYFUNCTION("""COMPUTED_VALUE"""),68)</f>
        <v>68</v>
      </c>
      <c r="I242">
        <f ca="1">IFERROR(__xludf.DUMMYFUNCTION("""COMPUTED_VALUE"""),6302)</f>
        <v>6302</v>
      </c>
      <c r="J242" t="str">
        <f ca="1">IFERROR(__xludf.DUMMYFUNCTION("""COMPUTED_VALUE"""),"2001 (40000-402-41000) ОДЕССА-СОРТ - ЗНАМЕНКА")</f>
        <v>2001 (40000-402-41000) ОДЕССА-СОРТ - ЗНАМЕНКА</v>
      </c>
      <c r="K242">
        <f ca="1">IFERROR(__xludf.DUMMYFUNCTION("""COMPUTED_VALUE"""),40000)</f>
        <v>40000</v>
      </c>
      <c r="L242" t="str">
        <f ca="1">IFERROR(__xludf.DUMMYFUNCTION("""COMPUTED_VALUE"""),"ОДЕССА-СОРТ")</f>
        <v>ОДЕССА-СОРТ</v>
      </c>
      <c r="M242" t="str">
        <f ca="1">IFERROR(__xludf.DUMMYFUNCTION("""COMPUTED_VALUE"""),"12.08.21 06-22")</f>
        <v>12.08.21 06-22</v>
      </c>
      <c r="N242" t="str">
        <f ca="1">IFERROR(__xludf.DUMMYFUNCTION("""COMPUTED_VALUE"""),"71 ПРИЦ")</f>
        <v>71 ПРИЦ</v>
      </c>
      <c r="O242">
        <f ca="1">IFERROR(__xludf.DUMMYFUNCTION("""COMPUTED_VALUE"""),41130)</f>
        <v>41130</v>
      </c>
      <c r="P242" t="str">
        <f ca="1">IFERROR(__xludf.DUMMYFUNCTION("""COMPUTED_VALUE"""),"КАНАТОВО")</f>
        <v>КАНАТОВО</v>
      </c>
      <c r="Q242">
        <f ca="1">IFERROR(__xludf.DUMMYFUNCTION("""COMPUTED_VALUE"""),40210)</f>
        <v>40210</v>
      </c>
      <c r="R242" t="str">
        <f ca="1">IFERROR(__xludf.DUMMYFUNCTION("""COMPUTED_VALUE"""),"ЧЕРНО-ПОРТ-Э")</f>
        <v>ЧЕРНО-ПОРТ-Э</v>
      </c>
      <c r="S242" t="str">
        <f ca="1">IFERROR(__xludf.DUMMYFUNCTION("""COMPUTED_VALUE"""),"07.08.21 15-12")</f>
        <v>07.08.21 15-12</v>
      </c>
      <c r="T242">
        <f ca="1">IFERROR(__xludf.DUMMYFUNCTION("""COMPUTED_VALUE"""),4307)</f>
        <v>4307</v>
      </c>
      <c r="U242" t="str">
        <f ca="1">IFERROR(__xludf.DUMMYFUNCTION("""COMPUTED_VALUE"""),"07.10.2023 ДР")</f>
        <v>07.10.2023 ДР</v>
      </c>
      <c r="Z242" t="str">
        <f ca="1">IFERROR(__xludf.DUMMYFUNCTION("""COMPUTED_VALUE"""),"ООО «Ленагропром»")</f>
        <v>ООО «Ленагропром»</v>
      </c>
      <c r="AA242" t="str">
        <f ca="1">IFERROR(__xludf.DUMMYFUNCTION("""COMPUTED_VALUE"""),"12-141")</f>
        <v>12-141</v>
      </c>
      <c r="AB242" t="str">
        <f ca="1">IFERROR(__xludf.DUMMYFUNCTION("""COMPUTED_VALUE"""),"40 ОД")</f>
        <v>40 ОД</v>
      </c>
      <c r="AC242" t="str">
        <f ca="1">IFERROR(__xludf.DUMMYFUNCTION("""COMPUTED_VALUE"""),"40200 ЧЕРНОМОРСК-П")</f>
        <v>40200 ЧЕРНОМОРСК-П</v>
      </c>
      <c r="AD242" t="str">
        <f ca="1">IFERROR(__xludf.DUMMYFUNCTION("""COMPUTED_VALUE"""),"29.06.21 09-00")</f>
        <v>29.06.21 09-00</v>
      </c>
      <c r="AE242" t="str">
        <f ca="1">IFERROR(__xludf.DUMMYFUNCTION("""COMPUTED_VALUE"""),"440 OCЛAБЛЕНИЕ КPEПЛЕНИЯ ТPУБ ВОЗДУХОПРОВОДА И ТОРМОЗНЫХ ПРИБОРОВ")</f>
        <v>440 OCЛAБЛЕНИЕ КPEПЛЕНИЯ ТPУБ ВОЗДУХОПРОВОДА И ТОРМОЗНЫХ ПРИБОРОВ</v>
      </c>
      <c r="AF242" t="str">
        <f ca="1">IFERROR(__xludf.DUMMYFUNCTION("""COMPUTED_VALUE"""),"40 ОД")</f>
        <v>40 ОД</v>
      </c>
      <c r="AG242" t="str">
        <f ca="1">IFERROR(__xludf.DUMMYFUNCTION("""COMPUTED_VALUE"""),"40200 ЧЕРНОМОРСК-П")</f>
        <v>40200 ЧЕРНОМОРСК-П</v>
      </c>
      <c r="AH242" t="str">
        <f ca="1">IFERROR(__xludf.DUMMYFUNCTION("""COMPUTED_VALUE"""),"29.06.21 15-30")</f>
        <v>29.06.21 15-30</v>
      </c>
      <c r="AI242" s="21">
        <f ca="1">IFERROR(__xludf.DUMMYFUNCTION("""COMPUTED_VALUE"""),44420.357662037)</f>
        <v>44420.357662037</v>
      </c>
    </row>
    <row r="243" spans="1:35" ht="13" x14ac:dyDescent="0.15">
      <c r="A243">
        <f ca="1">IFERROR(__xludf.DUMMYFUNCTION("""COMPUTED_VALUE"""),846)</f>
        <v>846</v>
      </c>
      <c r="B243" t="str">
        <f ca="1">IFERROR(__xludf.DUMMYFUNCTION("""COMPUTED_VALUE"""),"Техрейс")</f>
        <v>Техрейс</v>
      </c>
      <c r="C243" t="str">
        <f ca="1">IFERROR(__xludf.DUMMYFUNCTION("""COMPUTED_VALUE"""),"Трейн Інвестмент")</f>
        <v>Трейн Інвестмент</v>
      </c>
      <c r="D243">
        <f ca="1">IFERROR(__xludf.DUMMYFUNCTION("""COMPUTED_VALUE"""),52365913)</f>
        <v>52365913</v>
      </c>
      <c r="E243" t="str">
        <f ca="1">IFERROR(__xludf.DUMMYFUNCTION("""COMPUTED_VALUE"""),"60 ПОЛУВАГОНЫ")</f>
        <v>60 ПОЛУВАГОНЫ</v>
      </c>
      <c r="F243">
        <f ca="1">IFERROR(__xludf.DUMMYFUNCTION("""COMPUTED_VALUE"""),42103)</f>
        <v>42103</v>
      </c>
      <c r="G243" t="str">
        <f ca="1">IFERROR(__xludf.DUMMYFUNCTION("""COMPUTED_VALUE"""),"ВАГОНЫ ЖД СВ")</f>
        <v>ВАГОНЫ ЖД СВ</v>
      </c>
      <c r="H243">
        <f ca="1">IFERROR(__xludf.DUMMYFUNCTION("""COMPUTED_VALUE"""),0)</f>
        <v>0</v>
      </c>
      <c r="I243">
        <f ca="1">IFERROR(__xludf.DUMMYFUNCTION("""COMPUTED_VALUE"""),5343)</f>
        <v>5343</v>
      </c>
      <c r="J243" t="str">
        <f ca="1">IFERROR(__xludf.DUMMYFUNCTION("""COMPUTED_VALUE"""),"1111 (48280-002-48200) АВДЕЕВКА - ПОКРОВСК")</f>
        <v>1111 (48280-002-48200) АВДЕЕВКА - ПОКРОВСК</v>
      </c>
      <c r="K243">
        <f ca="1">IFERROR(__xludf.DUMMYFUNCTION("""COMPUTED_VALUE"""),48280)</f>
        <v>48280</v>
      </c>
      <c r="L243" t="str">
        <f ca="1">IFERROR(__xludf.DUMMYFUNCTION("""COMPUTED_VALUE"""),"АВДЕЕВКА")</f>
        <v>АВДЕЕВКА</v>
      </c>
      <c r="M243" t="str">
        <f ca="1">IFERROR(__xludf.DUMMYFUNCTION("""COMPUTED_VALUE"""),"12.08.21 05-22")</f>
        <v>12.08.21 05-22</v>
      </c>
      <c r="N243" t="str">
        <f ca="1">IFERROR(__xludf.DUMMYFUNCTION("""COMPUTED_VALUE"""),"71 ПРИЦ")</f>
        <v>71 ПРИЦ</v>
      </c>
      <c r="O243">
        <f ca="1">IFERROR(__xludf.DUMMYFUNCTION("""COMPUTED_VALUE"""),46720)</f>
        <v>46720</v>
      </c>
      <c r="P243" t="str">
        <f ca="1">IFERROR(__xludf.DUMMYFUNCTION("""COMPUTED_VALUE"""),"КРИВОЙ РОГ")</f>
        <v>КРИВОЙ РОГ</v>
      </c>
      <c r="Q243">
        <f ca="1">IFERROR(__xludf.DUMMYFUNCTION("""COMPUTED_VALUE"""),48280)</f>
        <v>48280</v>
      </c>
      <c r="R243" t="str">
        <f ca="1">IFERROR(__xludf.DUMMYFUNCTION("""COMPUTED_VALUE"""),"АВДЕЕВКА")</f>
        <v>АВДЕЕВКА</v>
      </c>
      <c r="S243" t="str">
        <f ca="1">IFERROR(__xludf.DUMMYFUNCTION("""COMPUTED_VALUE"""),"11.08.21 01-40")</f>
        <v>11.08.21 01-40</v>
      </c>
      <c r="T243">
        <f ca="1">IFERROR(__xludf.DUMMYFUNCTION("""COMPUTED_VALUE"""),7253)</f>
        <v>7253</v>
      </c>
      <c r="U243" t="str">
        <f ca="1">IFERROR(__xludf.DUMMYFUNCTION("""COMPUTED_VALUE"""),"02.07.2024 ДР")</f>
        <v>02.07.2024 ДР</v>
      </c>
      <c r="Z243" t="str">
        <f ca="1">IFERROR(__xludf.DUMMYFUNCTION("""COMPUTED_VALUE"""),"ООО «ТРЕЙН ИНВЕСТМЕНТ»")</f>
        <v>ООО «ТРЕЙН ИНВЕСТМЕНТ»</v>
      </c>
      <c r="AA243" t="str">
        <f ca="1">IFERROR(__xludf.DUMMYFUNCTION("""COMPUTED_VALUE"""),"12-132")</f>
        <v>12-132</v>
      </c>
      <c r="AB243" t="str">
        <f ca="1">IFERROR(__xludf.DUMMYFUNCTION("""COMPUTED_VALUE"""),"32 Ю-ЗАП")</f>
        <v>32 Ю-ЗАП</v>
      </c>
      <c r="AC243" t="str">
        <f ca="1">IFERROR(__xludf.DUMMYFUNCTION("""COMPUTED_VALUE"""),"33000 ЖМЕРИНКА")</f>
        <v>33000 ЖМЕРИНКА</v>
      </c>
      <c r="AD243" t="str">
        <f ca="1">IFERROR(__xludf.DUMMYFUNCTION("""COMPUTED_VALUE"""),"02.07.21 15-26")</f>
        <v>02.07.21 15-26</v>
      </c>
      <c r="AE243" t="str">
        <f ca="1">IFERROR(__xludf.DUMMYFUNCTION("""COMPUTED_VALUE"""),"571 ИCТEК КAЛЕНДАРНЫЙ CPOК КAПИТAЛЬНОГО PEМOНТA")</f>
        <v>571 ИCТEК КAЛЕНДАРНЫЙ CPOК КAПИТAЛЬНОГО PEМOНТA</v>
      </c>
      <c r="AF243" t="str">
        <f ca="1">IFERROR(__xludf.DUMMYFUNCTION("""COMPUTED_VALUE"""),"32 Ю-ЗАП")</f>
        <v>32 Ю-ЗАП</v>
      </c>
      <c r="AG243" t="str">
        <f ca="1">IFERROR(__xludf.DUMMYFUNCTION("""COMPUTED_VALUE"""),"33000 ЖМЕРИНКА")</f>
        <v>33000 ЖМЕРИНКА</v>
      </c>
      <c r="AH243" t="str">
        <f ca="1">IFERROR(__xludf.DUMMYFUNCTION("""COMPUTED_VALUE"""),"02.07.21 15-46")</f>
        <v>02.07.21 15-46</v>
      </c>
      <c r="AI243" s="21">
        <f ca="1">IFERROR(__xludf.DUMMYFUNCTION("""COMPUTED_VALUE"""),44420.357662037)</f>
        <v>44420.357662037</v>
      </c>
    </row>
    <row r="244" spans="1:35" ht="13" x14ac:dyDescent="0.15">
      <c r="A244">
        <f ca="1">IFERROR(__xludf.DUMMYFUNCTION("""COMPUTED_VALUE"""),847)</f>
        <v>847</v>
      </c>
      <c r="B244" t="str">
        <f ca="1">IFERROR(__xludf.DUMMYFUNCTION("""COMPUTED_VALUE"""),"Техрейс")</f>
        <v>Техрейс</v>
      </c>
      <c r="C244" t="str">
        <f ca="1">IFERROR(__xludf.DUMMYFUNCTION("""COMPUTED_VALUE"""),"Трейн Інвестмент")</f>
        <v>Трейн Інвестмент</v>
      </c>
      <c r="D244">
        <f ca="1">IFERROR(__xludf.DUMMYFUNCTION("""COMPUTED_VALUE"""),52771755)</f>
        <v>52771755</v>
      </c>
      <c r="E244" t="str">
        <f ca="1">IFERROR(__xludf.DUMMYFUNCTION("""COMPUTED_VALUE"""),"60 ПОЛУВАГОНЫ")</f>
        <v>60 ПОЛУВАГОНЫ</v>
      </c>
      <c r="F244">
        <f ca="1">IFERROR(__xludf.DUMMYFUNCTION("""COMPUTED_VALUE"""),42103)</f>
        <v>42103</v>
      </c>
      <c r="G244" t="str">
        <f ca="1">IFERROR(__xludf.DUMMYFUNCTION("""COMPUTED_VALUE"""),"ВАГОНЫ ЖД СВ")</f>
        <v>ВАГОНЫ ЖД СВ</v>
      </c>
      <c r="H244">
        <f ca="1">IFERROR(__xludf.DUMMYFUNCTION("""COMPUTED_VALUE"""),0)</f>
        <v>0</v>
      </c>
      <c r="I244">
        <f ca="1">IFERROR(__xludf.DUMMYFUNCTION("""COMPUTED_VALUE"""),5343)</f>
        <v>5343</v>
      </c>
      <c r="J244" t="str">
        <f ca="1">IFERROR(__xludf.DUMMYFUNCTION("""COMPUTED_VALUE"""),"5555 (46720-322-00010) КРИВОЙ РОГ -")</f>
        <v>5555 (46720-322-00010) КРИВОЙ РОГ -</v>
      </c>
      <c r="K244">
        <f ca="1">IFERROR(__xludf.DUMMYFUNCTION("""COMPUTED_VALUE"""),46720)</f>
        <v>46720</v>
      </c>
      <c r="L244" t="str">
        <f ca="1">IFERROR(__xludf.DUMMYFUNCTION("""COMPUTED_VALUE"""),"КРИВОЙ РОГ")</f>
        <v>КРИВОЙ РОГ</v>
      </c>
      <c r="M244" t="str">
        <f ca="1">IFERROR(__xludf.DUMMYFUNCTION("""COMPUTED_VALUE"""),"04.08.21 14-00")</f>
        <v>04.08.21 14-00</v>
      </c>
      <c r="N244" t="str">
        <f ca="1">IFERROR(__xludf.DUMMYFUNCTION("""COMPUTED_VALUE"""),"98 ОТОТ")</f>
        <v>98 ОТОТ</v>
      </c>
      <c r="O244">
        <f ca="1">IFERROR(__xludf.DUMMYFUNCTION("""COMPUTED_VALUE"""),46720)</f>
        <v>46720</v>
      </c>
      <c r="P244" t="str">
        <f ca="1">IFERROR(__xludf.DUMMYFUNCTION("""COMPUTED_VALUE"""),"КРИВОЙ РОГ")</f>
        <v>КРИВОЙ РОГ</v>
      </c>
      <c r="Q244">
        <f ca="1">IFERROR(__xludf.DUMMYFUNCTION("""COMPUTED_VALUE"""),40050)</f>
        <v>40050</v>
      </c>
      <c r="R244" t="str">
        <f ca="1">IFERROR(__xludf.DUMMYFUNCTION("""COMPUTED_VALUE"""),"БЕРЕГОВАЯ")</f>
        <v>БЕРЕГОВАЯ</v>
      </c>
      <c r="S244" t="str">
        <f ca="1">IFERROR(__xludf.DUMMYFUNCTION("""COMPUTED_VALUE"""),"02.08.21 15-40")</f>
        <v>02.08.21 15-40</v>
      </c>
      <c r="T244">
        <f ca="1">IFERROR(__xludf.DUMMYFUNCTION("""COMPUTED_VALUE"""),8200)</f>
        <v>8200</v>
      </c>
      <c r="U244" t="str">
        <f ca="1">IFERROR(__xludf.DUMMYFUNCTION("""COMPUTED_VALUE"""),"27.03.2022 ДР")</f>
        <v>27.03.2022 ДР</v>
      </c>
      <c r="Z244" t="str">
        <f ca="1">IFERROR(__xludf.DUMMYFUNCTION("""COMPUTED_VALUE"""),"ООО «ТРЕЙН ИНВЕСТМЕНТ»")</f>
        <v>ООО «ТРЕЙН ИНВЕСТМЕНТ»</v>
      </c>
      <c r="AA244" t="str">
        <f ca="1">IFERROR(__xludf.DUMMYFUNCTION("""COMPUTED_VALUE"""),"12-757")</f>
        <v>12-757</v>
      </c>
      <c r="AB244" t="str">
        <f ca="1">IFERROR(__xludf.DUMMYFUNCTION("""COMPUTED_VALUE"""),"43 ЮЖН")</f>
        <v>43 ЮЖН</v>
      </c>
      <c r="AC244" t="str">
        <f ca="1">IFERROR(__xludf.DUMMYFUNCTION("""COMPUTED_VALUE"""),"42500 КРЕМЕНЧУГ")</f>
        <v>42500 КРЕМЕНЧУГ</v>
      </c>
      <c r="AD244" t="str">
        <f ca="1">IFERROR(__xludf.DUMMYFUNCTION("""COMPUTED_VALUE"""),"09.06.21 09-26")</f>
        <v>09.06.21 09-26</v>
      </c>
      <c r="AE244" t="str">
        <f ca="1">IFERROR(__xludf.DUMMYFUNCTION("""COMPUTED_VALUE"""),"304 ТPEЩИНА В КOPПУCE AВТOCЦEПКИ")</f>
        <v>304 ТPEЩИНА В КOPПУCE AВТOCЦEПКИ</v>
      </c>
      <c r="AF244" t="str">
        <f ca="1">IFERROR(__xludf.DUMMYFUNCTION("""COMPUTED_VALUE"""),"43 ЮЖН")</f>
        <v>43 ЮЖН</v>
      </c>
      <c r="AG244" t="str">
        <f ca="1">IFERROR(__xludf.DUMMYFUNCTION("""COMPUTED_VALUE"""),"42500 КРЕМЕНЧУГ")</f>
        <v>42500 КРЕМЕНЧУГ</v>
      </c>
      <c r="AH244" t="str">
        <f ca="1">IFERROR(__xludf.DUMMYFUNCTION("""COMPUTED_VALUE"""),"13.06.21 17-52")</f>
        <v>13.06.21 17-52</v>
      </c>
      <c r="AI244" s="21">
        <f ca="1">IFERROR(__xludf.DUMMYFUNCTION("""COMPUTED_VALUE"""),44420.357662037)</f>
        <v>44420.357662037</v>
      </c>
    </row>
    <row r="245" spans="1:35" ht="13" x14ac:dyDescent="0.15">
      <c r="A245">
        <f ca="1">IFERROR(__xludf.DUMMYFUNCTION("""COMPUTED_VALUE"""),848)</f>
        <v>848</v>
      </c>
      <c r="B245" t="str">
        <f ca="1">IFERROR(__xludf.DUMMYFUNCTION("""COMPUTED_VALUE"""),"Техрейс")</f>
        <v>Техрейс</v>
      </c>
      <c r="C245" t="str">
        <f ca="1">IFERROR(__xludf.DUMMYFUNCTION("""COMPUTED_VALUE"""),"Трейн Інвестмент")</f>
        <v>Трейн Інвестмент</v>
      </c>
      <c r="D245">
        <f ca="1">IFERROR(__xludf.DUMMYFUNCTION("""COMPUTED_VALUE"""),52771771)</f>
        <v>52771771</v>
      </c>
      <c r="E245" t="str">
        <f ca="1">IFERROR(__xludf.DUMMYFUNCTION("""COMPUTED_VALUE"""),"60 ПОЛУВАГОНЫ")</f>
        <v>60 ПОЛУВАГОНЫ</v>
      </c>
      <c r="F245">
        <f ca="1">IFERROR(__xludf.DUMMYFUNCTION("""COMPUTED_VALUE"""),14109)</f>
        <v>14109</v>
      </c>
      <c r="G245" t="str">
        <f ca="1">IFERROR(__xludf.DUMMYFUNCTION("""COMPUTED_VALUE"""),"ГЕМАТИТ")</f>
        <v>ГЕМАТИТ</v>
      </c>
      <c r="H245">
        <f ca="1">IFERROR(__xludf.DUMMYFUNCTION("""COMPUTED_VALUE"""),69)</f>
        <v>69</v>
      </c>
      <c r="I245">
        <f ca="1">IFERROR(__xludf.DUMMYFUNCTION("""COMPUTED_VALUE"""),5786)</f>
        <v>5786</v>
      </c>
      <c r="J245" t="str">
        <f ca="1">IFERROR(__xludf.DUMMYFUNCTION("""COMPUTED_VALUE"""),"1611 (46720-395-40050) КРИВОЙ РОГ - БЕРЕГОВАЯ")</f>
        <v>1611 (46720-395-40050) КРИВОЙ РОГ - БЕРЕГОВАЯ</v>
      </c>
      <c r="K245">
        <f ca="1">IFERROR(__xludf.DUMMYFUNCTION("""COMPUTED_VALUE"""),40050)</f>
        <v>40050</v>
      </c>
      <c r="L245" t="str">
        <f ca="1">IFERROR(__xludf.DUMMYFUNCTION("""COMPUTED_VALUE"""),"БЕРЕГОВАЯ")</f>
        <v>БЕРЕГОВАЯ</v>
      </c>
      <c r="M245" t="str">
        <f ca="1">IFERROR(__xludf.DUMMYFUNCTION("""COMPUTED_VALUE"""),"12.08.21 04-25")</f>
        <v>12.08.21 04-25</v>
      </c>
      <c r="N245" t="str">
        <f ca="1">IFERROR(__xludf.DUMMYFUNCTION("""COMPUTED_VALUE"""),"21 ВЫГ2")</f>
        <v>21 ВЫГ2</v>
      </c>
      <c r="O245">
        <f ca="1">IFERROR(__xludf.DUMMYFUNCTION("""COMPUTED_VALUE"""),40060)</f>
        <v>40060</v>
      </c>
      <c r="P245" t="str">
        <f ca="1">IFERROR(__xludf.DUMMYFUNCTION("""COMPUTED_VALUE"""),"БЕРЕГОВАЯ-Э")</f>
        <v>БЕРЕГОВАЯ-Э</v>
      </c>
      <c r="Q245">
        <f ca="1">IFERROR(__xludf.DUMMYFUNCTION("""COMPUTED_VALUE"""),46720)</f>
        <v>46720</v>
      </c>
      <c r="R245" t="str">
        <f ca="1">IFERROR(__xludf.DUMMYFUNCTION("""COMPUTED_VALUE"""),"КРИВОЙ РОГ")</f>
        <v>КРИВОЙ РОГ</v>
      </c>
      <c r="S245" t="str">
        <f ca="1">IFERROR(__xludf.DUMMYFUNCTION("""COMPUTED_VALUE"""),"08.08.21 05-05")</f>
        <v>08.08.21 05-05</v>
      </c>
      <c r="U245" t="str">
        <f ca="1">IFERROR(__xludf.DUMMYFUNCTION("""COMPUTED_VALUE"""),"27.03.2022 ДР")</f>
        <v>27.03.2022 ДР</v>
      </c>
      <c r="Z245" t="str">
        <f ca="1">IFERROR(__xludf.DUMMYFUNCTION("""COMPUTED_VALUE"""),"ООО «ТРЕЙН ИНВЕСТМЕНТ»")</f>
        <v>ООО «ТРЕЙН ИНВЕСТМЕНТ»</v>
      </c>
      <c r="AA245" t="str">
        <f ca="1">IFERROR(__xludf.DUMMYFUNCTION("""COMPUTED_VALUE"""),"12-757")</f>
        <v>12-757</v>
      </c>
      <c r="AB245" t="str">
        <f ca="1">IFERROR(__xludf.DUMMYFUNCTION("""COMPUTED_VALUE"""),"32 Ю-ЗАП")</f>
        <v>32 Ю-ЗАП</v>
      </c>
      <c r="AC245" t="str">
        <f ca="1">IFERROR(__xludf.DUMMYFUNCTION("""COMPUTED_VALUE"""),"34350 ФАСТОВ I")</f>
        <v>34350 ФАСТОВ I</v>
      </c>
      <c r="AD245" t="str">
        <f ca="1">IFERROR(__xludf.DUMMYFUNCTION("""COMPUTED_VALUE"""),"13.09.20 12-01")</f>
        <v>13.09.20 12-01</v>
      </c>
      <c r="AE245" t="str">
        <f ca="1">IFERROR(__xludf.DUMMYFUNCTION("""COMPUTED_VALUE"""),"445 ЗAВAP БAШМAКA")</f>
        <v>445 ЗAВAP БAШМAКA</v>
      </c>
      <c r="AF245" t="str">
        <f ca="1">IFERROR(__xludf.DUMMYFUNCTION("""COMPUTED_VALUE"""),"32 Ю-ЗАП")</f>
        <v>32 Ю-ЗАП</v>
      </c>
      <c r="AG245" t="str">
        <f ca="1">IFERROR(__xludf.DUMMYFUNCTION("""COMPUTED_VALUE"""),"34350 ФАСТОВ I")</f>
        <v>34350 ФАСТОВ I</v>
      </c>
      <c r="AH245" t="str">
        <f ca="1">IFERROR(__xludf.DUMMYFUNCTION("""COMPUTED_VALUE"""),"15.09.20 09-00")</f>
        <v>15.09.20 09-00</v>
      </c>
      <c r="AI245" s="21">
        <f ca="1">IFERROR(__xludf.DUMMYFUNCTION("""COMPUTED_VALUE"""),44420.357662037)</f>
        <v>44420.357662037</v>
      </c>
    </row>
    <row r="246" spans="1:35" ht="13" x14ac:dyDescent="0.15">
      <c r="A246">
        <f ca="1">IFERROR(__xludf.DUMMYFUNCTION("""COMPUTED_VALUE"""),849)</f>
        <v>849</v>
      </c>
      <c r="B246" t="str">
        <f ca="1">IFERROR(__xludf.DUMMYFUNCTION("""COMPUTED_VALUE"""),"Техрейс")</f>
        <v>Техрейс</v>
      </c>
      <c r="C246" t="str">
        <f ca="1">IFERROR(__xludf.DUMMYFUNCTION("""COMPUTED_VALUE"""),"Трейн Інвестмент")</f>
        <v>Трейн Інвестмент</v>
      </c>
      <c r="D246">
        <f ca="1">IFERROR(__xludf.DUMMYFUNCTION("""COMPUTED_VALUE"""),52771805)</f>
        <v>52771805</v>
      </c>
      <c r="E246" t="str">
        <f ca="1">IFERROR(__xludf.DUMMYFUNCTION("""COMPUTED_VALUE"""),"60 ПОЛУВАГОНЫ")</f>
        <v>60 ПОЛУВАГОНЫ</v>
      </c>
      <c r="F246">
        <f ca="1">IFERROR(__xludf.DUMMYFUNCTION("""COMPUTED_VALUE"""),23239)</f>
        <v>23239</v>
      </c>
      <c r="G246" t="str">
        <f ca="1">IFERROR(__xludf.DUMMYFUNCTION("""COMPUTED_VALUE"""),"ЩЕБЕНЬ ГРАНИТ")</f>
        <v>ЩЕБЕНЬ ГРАНИТ</v>
      </c>
      <c r="H246">
        <f ca="1">IFERROR(__xludf.DUMMYFUNCTION("""COMPUTED_VALUE"""),69)</f>
        <v>69</v>
      </c>
      <c r="I246">
        <f ca="1">IFERROR(__xludf.DUMMYFUNCTION("""COMPUTED_VALUE"""),4056)</f>
        <v>4056</v>
      </c>
      <c r="J246" t="str">
        <f ca="1">IFERROR(__xludf.DUMMYFUNCTION("""COMPUTED_VALUE"""),"2326 (46000-110-44000) ЗАПОРОЖ-ЛЕВ - ХАРЬКОВ-СОРТ")</f>
        <v>2326 (46000-110-44000) ЗАПОРОЖ-ЛЕВ - ХАРЬКОВ-СОРТ</v>
      </c>
      <c r="K246">
        <f ca="1">IFERROR(__xludf.DUMMYFUNCTION("""COMPUTED_VALUE"""),44000)</f>
        <v>44000</v>
      </c>
      <c r="L246" t="str">
        <f ca="1">IFERROR(__xludf.DUMMYFUNCTION("""COMPUTED_VALUE"""),"ХАРЬКОВ-СОРТ")</f>
        <v>ХАРЬКОВ-СОРТ</v>
      </c>
      <c r="M246" t="str">
        <f ca="1">IFERROR(__xludf.DUMMYFUNCTION("""COMPUTED_VALUE"""),"12.08.21 06-05")</f>
        <v>12.08.21 06-05</v>
      </c>
      <c r="N246" t="str">
        <f ca="1">IFERROR(__xludf.DUMMYFUNCTION("""COMPUTED_VALUE"""),"04 РАСФ")</f>
        <v>04 РАСФ</v>
      </c>
      <c r="O246">
        <f ca="1">IFERROR(__xludf.DUMMYFUNCTION("""COMPUTED_VALUE"""),44990)</f>
        <v>44990</v>
      </c>
      <c r="P246" t="str">
        <f ca="1">IFERROR(__xludf.DUMMYFUNCTION("""COMPUTED_VALUE"""),"ХАРЬК-ЛИСКИ")</f>
        <v>ХАРЬК-ЛИСКИ</v>
      </c>
      <c r="Q246">
        <f ca="1">IFERROR(__xludf.DUMMYFUNCTION("""COMPUTED_VALUE"""),46600)</f>
        <v>46600</v>
      </c>
      <c r="R246" t="str">
        <f ca="1">IFERROR(__xludf.DUMMYFUNCTION("""COMPUTED_VALUE"""),"НИКОПОЛЬ")</f>
        <v>НИКОПОЛЬ</v>
      </c>
      <c r="S246" t="str">
        <f ca="1">IFERROR(__xludf.DUMMYFUNCTION("""COMPUTED_VALUE"""),"09.08.21 18-00")</f>
        <v>09.08.21 18-00</v>
      </c>
      <c r="T246">
        <f ca="1">IFERROR(__xludf.DUMMYFUNCTION("""COMPUTED_VALUE"""),4806)</f>
        <v>4806</v>
      </c>
      <c r="U246" t="str">
        <f ca="1">IFERROR(__xludf.DUMMYFUNCTION("""COMPUTED_VALUE"""),"27.03.2022 ДР")</f>
        <v>27.03.2022 ДР</v>
      </c>
      <c r="Z246" t="str">
        <f ca="1">IFERROR(__xludf.DUMMYFUNCTION("""COMPUTED_VALUE"""),"ООО «ТРЕЙН ИНВЕСТМЕНТ»")</f>
        <v>ООО «ТРЕЙН ИНВЕСТМЕНТ»</v>
      </c>
      <c r="AA246" t="str">
        <f ca="1">IFERROR(__xludf.DUMMYFUNCTION("""COMPUTED_VALUE"""),"12-757")</f>
        <v>12-757</v>
      </c>
      <c r="AB246" t="str">
        <f ca="1">IFERROR(__xludf.DUMMYFUNCTION("""COMPUTED_VALUE"""),"45 ПРИДН")</f>
        <v>45 ПРИДН</v>
      </c>
      <c r="AC246" t="str">
        <f ca="1">IFERROR(__xludf.DUMMYFUNCTION("""COMPUTED_VALUE"""),"46720 КРИВОЙ РОГ")</f>
        <v>46720 КРИВОЙ РОГ</v>
      </c>
      <c r="AD246" t="str">
        <f ca="1">IFERROR(__xludf.DUMMYFUNCTION("""COMPUTED_VALUE"""),"08.06.20 12-15")</f>
        <v>08.06.20 12-15</v>
      </c>
      <c r="AE246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46" t="str">
        <f ca="1">IFERROR(__xludf.DUMMYFUNCTION("""COMPUTED_VALUE"""),"45 ПРИДН")</f>
        <v>45 ПРИДН</v>
      </c>
      <c r="AG246" t="str">
        <f ca="1">IFERROR(__xludf.DUMMYFUNCTION("""COMPUTED_VALUE"""),"46720 КРИВОЙ РОГ")</f>
        <v>46720 КРИВОЙ РОГ</v>
      </c>
      <c r="AH246" t="str">
        <f ca="1">IFERROR(__xludf.DUMMYFUNCTION("""COMPUTED_VALUE"""),"12.06.20 02-00")</f>
        <v>12.06.20 02-00</v>
      </c>
      <c r="AI246" s="21">
        <f ca="1">IFERROR(__xludf.DUMMYFUNCTION("""COMPUTED_VALUE"""),44420.357662037)</f>
        <v>44420.357662037</v>
      </c>
    </row>
    <row r="247" spans="1:35" ht="13" x14ac:dyDescent="0.15">
      <c r="A247">
        <f ca="1">IFERROR(__xludf.DUMMYFUNCTION("""COMPUTED_VALUE"""),850)</f>
        <v>850</v>
      </c>
      <c r="B247" t="str">
        <f ca="1">IFERROR(__xludf.DUMMYFUNCTION("""COMPUTED_VALUE"""),"Агрохимресурс")</f>
        <v>Агрохимресурс</v>
      </c>
      <c r="C247" t="str">
        <f ca="1">IFERROR(__xludf.DUMMYFUNCTION("""COMPUTED_VALUE"""),"Трейн Інвестмент")</f>
        <v>Трейн Інвестмент</v>
      </c>
      <c r="D247">
        <f ca="1">IFERROR(__xludf.DUMMYFUNCTION("""COMPUTED_VALUE"""),52771888)</f>
        <v>52771888</v>
      </c>
      <c r="E247" t="str">
        <f ca="1">IFERROR(__xludf.DUMMYFUNCTION("""COMPUTED_VALUE"""),"60 ПОЛУВАГОНЫ")</f>
        <v>60 ПОЛУВАГОНЫ</v>
      </c>
      <c r="F247">
        <f ca="1">IFERROR(__xludf.DUMMYFUNCTION("""COMPUTED_VALUE"""),43304)</f>
        <v>43304</v>
      </c>
      <c r="G247" t="str">
        <f ca="1">IFERROR(__xludf.DUMMYFUNCTION("""COMPUTED_VALUE"""),"КАРБАМИД")</f>
        <v>КАРБАМИД</v>
      </c>
      <c r="H247">
        <f ca="1">IFERROR(__xludf.DUMMYFUNCTION("""COMPUTED_VALUE"""),57)</f>
        <v>57</v>
      </c>
      <c r="I247">
        <f ca="1">IFERROR(__xludf.DUMMYFUNCTION("""COMPUTED_VALUE"""),3166)</f>
        <v>3166</v>
      </c>
      <c r="J247" t="str">
        <f ca="1">IFERROR(__xludf.DUMMYFUNCTION("""COMPUTED_VALUE"""),"3501 (46300-743-46310) ПОЛОГИ - ГУЛЯЙПОЛЕ")</f>
        <v>3501 (46300-743-46310) ПОЛОГИ - ГУЛЯЙПОЛЕ</v>
      </c>
      <c r="K247">
        <f ca="1">IFERROR(__xludf.DUMMYFUNCTION("""COMPUTED_VALUE"""),46300)</f>
        <v>46300</v>
      </c>
      <c r="L247" t="str">
        <f ca="1">IFERROR(__xludf.DUMMYFUNCTION("""COMPUTED_VALUE"""),"ПОЛОГИ")</f>
        <v>ПОЛОГИ</v>
      </c>
      <c r="M247" t="str">
        <f ca="1">IFERROR(__xludf.DUMMYFUNCTION("""COMPUTED_VALUE"""),"12.08.21 07-24")</f>
        <v>12.08.21 07-24</v>
      </c>
      <c r="N247" t="str">
        <f ca="1">IFERROR(__xludf.DUMMYFUNCTION("""COMPUTED_VALUE"""),"05 ФОРМ")</f>
        <v>05 ФОРМ</v>
      </c>
      <c r="O247">
        <f ca="1">IFERROR(__xludf.DUMMYFUNCTION("""COMPUTED_VALUE"""),46310)</f>
        <v>46310</v>
      </c>
      <c r="P247" t="str">
        <f ca="1">IFERROR(__xludf.DUMMYFUNCTION("""COMPUTED_VALUE"""),"ГУЛЯЙПОЛЕ")</f>
        <v>ГУЛЯЙПОЛЕ</v>
      </c>
      <c r="Q247">
        <f ca="1">IFERROR(__xludf.DUMMYFUNCTION("""COMPUTED_VALUE"""),32430)</f>
        <v>32430</v>
      </c>
      <c r="R247" t="str">
        <f ca="1">IFERROR(__xludf.DUMMYFUNCTION("""COMPUTED_VALUE"""),"ГОЛУБИЧИ")</f>
        <v>ГОЛУБИЧИ</v>
      </c>
      <c r="S247" t="str">
        <f ca="1">IFERROR(__xludf.DUMMYFUNCTION("""COMPUTED_VALUE"""),"03.08.21 14-20")</f>
        <v>03.08.21 14-20</v>
      </c>
      <c r="T247">
        <f ca="1">IFERROR(__xludf.DUMMYFUNCTION("""COMPUTED_VALUE"""),4165)</f>
        <v>4165</v>
      </c>
      <c r="U247" t="str">
        <f ca="1">IFERROR(__xludf.DUMMYFUNCTION("""COMPUTED_VALUE"""),"27.03.2022 ДР")</f>
        <v>27.03.2022 ДР</v>
      </c>
      <c r="Z247" t="str">
        <f ca="1">IFERROR(__xludf.DUMMYFUNCTION("""COMPUTED_VALUE"""),"ООО «ТРЕЙН ИНВЕСТМЕНТ»")</f>
        <v>ООО «ТРЕЙН ИНВЕСТМЕНТ»</v>
      </c>
      <c r="AA247" t="str">
        <f ca="1">IFERROR(__xludf.DUMMYFUNCTION("""COMPUTED_VALUE"""),"12-757")</f>
        <v>12-757</v>
      </c>
      <c r="AB247" t="str">
        <f ca="1">IFERROR(__xludf.DUMMYFUNCTION("""COMPUTED_VALUE"""),"32 Ю-ЗАП")</f>
        <v>32 Ю-ЗАП</v>
      </c>
      <c r="AC247" t="str">
        <f ca="1">IFERROR(__xludf.DUMMYFUNCTION("""COMPUTED_VALUE"""),"34270 КАЗАТИН I")</f>
        <v>34270 КАЗАТИН I</v>
      </c>
      <c r="AD247" t="str">
        <f ca="1">IFERROR(__xludf.DUMMYFUNCTION("""COMPUTED_VALUE"""),"15.09.20 17-38")</f>
        <v>15.09.20 17-38</v>
      </c>
      <c r="AE247" t="str">
        <f ca="1">IFERROR(__xludf.DUMMYFUNCTION("""COMPUTED_VALUE"""),"406 НEИCПPAВНОСТЬ PAЗOБЩИТEЛЬНOГO КPAНA")</f>
        <v>406 НEИCПPAВНОСТЬ PAЗOБЩИТEЛЬНOГO КPAНA</v>
      </c>
      <c r="AF247" t="str">
        <f ca="1">IFERROR(__xludf.DUMMYFUNCTION("""COMPUTED_VALUE"""),"32 Ю-ЗАП")</f>
        <v>32 Ю-ЗАП</v>
      </c>
      <c r="AG247" t="str">
        <f ca="1">IFERROR(__xludf.DUMMYFUNCTION("""COMPUTED_VALUE"""),"34270 КАЗАТИН I")</f>
        <v>34270 КАЗАТИН I</v>
      </c>
      <c r="AH247" t="str">
        <f ca="1">IFERROR(__xludf.DUMMYFUNCTION("""COMPUTED_VALUE"""),"20.09.20 16-00")</f>
        <v>20.09.20 16-00</v>
      </c>
      <c r="AI247" s="21">
        <f ca="1">IFERROR(__xludf.DUMMYFUNCTION("""COMPUTED_VALUE"""),44420.357662037)</f>
        <v>44420.357662037</v>
      </c>
    </row>
    <row r="248" spans="1:35" ht="13" x14ac:dyDescent="0.15">
      <c r="A248">
        <f ca="1">IFERROR(__xludf.DUMMYFUNCTION("""COMPUTED_VALUE"""),851)</f>
        <v>851</v>
      </c>
      <c r="B248" t="str">
        <f ca="1">IFERROR(__xludf.DUMMYFUNCTION("""COMPUTED_VALUE"""),"Техрейс")</f>
        <v>Техрейс</v>
      </c>
      <c r="C248" t="str">
        <f ca="1">IFERROR(__xludf.DUMMYFUNCTION("""COMPUTED_VALUE"""),"Трейн Інвестмент")</f>
        <v>Трейн Інвестмент</v>
      </c>
      <c r="D248">
        <f ca="1">IFERROR(__xludf.DUMMYFUNCTION("""COMPUTED_VALUE"""),56358484)</f>
        <v>56358484</v>
      </c>
      <c r="E248" t="str">
        <f ca="1">IFERROR(__xludf.DUMMYFUNCTION("""COMPUTED_VALUE"""),"60 ПОЛУВАГОНЫ")</f>
        <v>60 ПОЛУВАГОНЫ</v>
      </c>
      <c r="F248">
        <f ca="1">IFERROR(__xludf.DUMMYFUNCTION("""COMPUTED_VALUE"""),17110)</f>
        <v>17110</v>
      </c>
      <c r="G248" t="str">
        <f ca="1">IFERROR(__xludf.DUMMYFUNCTION("""COMPUTED_VALUE"""),"МЕЛОЧЬ КОКСОВ")</f>
        <v>МЕЛОЧЬ КОКСОВ</v>
      </c>
      <c r="H248">
        <f ca="1">IFERROR(__xludf.DUMMYFUNCTION("""COMPUTED_VALUE"""),54)</f>
        <v>54</v>
      </c>
      <c r="I248">
        <f ca="1">IFERROR(__xludf.DUMMYFUNCTION("""COMPUTED_VALUE"""),3134)</f>
        <v>3134</v>
      </c>
      <c r="J248" t="str">
        <f ca="1">IFERROR(__xludf.DUMMYFUNCTION("""COMPUTED_VALUE"""),"2657 (46000-082-48620) ЗАПОРОЖ-ЛЕВ - ВОЛНОВАХА")</f>
        <v>2657 (46000-082-48620) ЗАПОРОЖ-ЛЕВ - ВОЛНОВАХА</v>
      </c>
      <c r="K248">
        <f ca="1">IFERROR(__xludf.DUMMYFUNCTION("""COMPUTED_VALUE"""),46000)</f>
        <v>46000</v>
      </c>
      <c r="L248" t="str">
        <f ca="1">IFERROR(__xludf.DUMMYFUNCTION("""COMPUTED_VALUE"""),"ЗАПОРОЖ-ЛЕВ")</f>
        <v>ЗАПОРОЖ-ЛЕВ</v>
      </c>
      <c r="M248" t="str">
        <f ca="1">IFERROR(__xludf.DUMMYFUNCTION("""COMPUTED_VALUE"""),"11.08.21 18-43")</f>
        <v>11.08.21 18-43</v>
      </c>
      <c r="N248" t="str">
        <f ca="1">IFERROR(__xludf.DUMMYFUNCTION("""COMPUTED_VALUE"""),"85 ПРСТ")</f>
        <v>85 ПРСТ</v>
      </c>
      <c r="O248">
        <f ca="1">IFERROR(__xludf.DUMMYFUNCTION("""COMPUTED_VALUE"""),48500)</f>
        <v>48500</v>
      </c>
      <c r="P248" t="str">
        <f ca="1">IFERROR(__xludf.DUMMYFUNCTION("""COMPUTED_VALUE"""),"АСЛАНОВО")</f>
        <v>АСЛАНОВО</v>
      </c>
      <c r="Q248">
        <f ca="1">IFERROR(__xludf.DUMMYFUNCTION("""COMPUTED_VALUE"""),46720)</f>
        <v>46720</v>
      </c>
      <c r="R248" t="str">
        <f ca="1">IFERROR(__xludf.DUMMYFUNCTION("""COMPUTED_VALUE"""),"КРИВОЙ РОГ")</f>
        <v>КРИВОЙ РОГ</v>
      </c>
      <c r="S248" t="str">
        <f ca="1">IFERROR(__xludf.DUMMYFUNCTION("""COMPUTED_VALUE"""),"10.08.21 18-30")</f>
        <v>10.08.21 18-30</v>
      </c>
      <c r="T248">
        <f ca="1">IFERROR(__xludf.DUMMYFUNCTION("""COMPUTED_VALUE"""),5343)</f>
        <v>5343</v>
      </c>
      <c r="U248" t="str">
        <f ca="1">IFERROR(__xludf.DUMMYFUNCTION("""COMPUTED_VALUE"""),"01.07.2024 ДР")</f>
        <v>01.07.2024 ДР</v>
      </c>
      <c r="Z248" t="str">
        <f ca="1">IFERROR(__xludf.DUMMYFUNCTION("""COMPUTED_VALUE"""),"ООО «ТРЕЙН ИНВЕСТМЕНТ»")</f>
        <v>ООО «ТРЕЙН ИНВЕСТМЕНТ»</v>
      </c>
      <c r="AA248" t="str">
        <f ca="1">IFERROR(__xludf.DUMMYFUNCTION("""COMPUTED_VALUE"""),"12-132")</f>
        <v>12-132</v>
      </c>
      <c r="AB248" t="str">
        <f ca="1">IFERROR(__xludf.DUMMYFUNCTION("""COMPUTED_VALUE"""),"32 Ю-ЗАП")</f>
        <v>32 Ю-ЗАП</v>
      </c>
      <c r="AC248" t="str">
        <f ca="1">IFERROR(__xludf.DUMMYFUNCTION("""COMPUTED_VALUE"""),"33000 ЖМЕРИНКА")</f>
        <v>33000 ЖМЕРИНКА</v>
      </c>
      <c r="AD248" t="str">
        <f ca="1">IFERROR(__xludf.DUMMYFUNCTION("""COMPUTED_VALUE"""),"01.07.21 15-39")</f>
        <v>01.07.21 15-39</v>
      </c>
      <c r="AE248" t="str">
        <f ca="1">IFERROR(__xludf.DUMMYFUNCTION("""COMPUTED_VALUE"""),"571 ИCТEК КAЛЕНДАРНЫЙ CPOК КAПИТAЛЬНОГО PEМOНТA")</f>
        <v>571 ИCТEК КAЛЕНДАРНЫЙ CPOК КAПИТAЛЬНОГО PEМOНТA</v>
      </c>
      <c r="AF248" t="str">
        <f ca="1">IFERROR(__xludf.DUMMYFUNCTION("""COMPUTED_VALUE"""),"32 Ю-ЗАП")</f>
        <v>32 Ю-ЗАП</v>
      </c>
      <c r="AG248" t="str">
        <f ca="1">IFERROR(__xludf.DUMMYFUNCTION("""COMPUTED_VALUE"""),"33000 ЖМЕРИНКА")</f>
        <v>33000 ЖМЕРИНКА</v>
      </c>
      <c r="AH248" t="str">
        <f ca="1">IFERROR(__xludf.DUMMYFUNCTION("""COMPUTED_VALUE"""),"01.07.21 15-51")</f>
        <v>01.07.21 15-51</v>
      </c>
      <c r="AI248" s="21">
        <f ca="1">IFERROR(__xludf.DUMMYFUNCTION("""COMPUTED_VALUE"""),44420.357662037)</f>
        <v>44420.357662037</v>
      </c>
    </row>
    <row r="249" spans="1:35" ht="13" x14ac:dyDescent="0.15">
      <c r="A249">
        <f ca="1">IFERROR(__xludf.DUMMYFUNCTION("""COMPUTED_VALUE"""),898)</f>
        <v>898</v>
      </c>
      <c r="B249" t="str">
        <f ca="1">IFERROR(__xludf.DUMMYFUNCTION("""COMPUTED_VALUE"""),"Техрейс")</f>
        <v>Техрейс</v>
      </c>
      <c r="C249" t="str">
        <f ca="1">IFERROR(__xludf.DUMMYFUNCTION("""COMPUTED_VALUE"""),"Нико-Рейл")</f>
        <v>Нико-Рейл</v>
      </c>
      <c r="D249">
        <f ca="1">IFERROR(__xludf.DUMMYFUNCTION("""COMPUTED_VALUE"""),64232168)</f>
        <v>64232168</v>
      </c>
      <c r="E249" t="str">
        <f ca="1">IFERROR(__xludf.DUMMYFUNCTION("""COMPUTED_VALUE"""),"60 ПОЛУВАГОНЫ")</f>
        <v>60 ПОЛУВАГОНЫ</v>
      </c>
      <c r="F249">
        <f ca="1">IFERROR(__xludf.DUMMYFUNCTION("""COMPUTED_VALUE"""),42103)</f>
        <v>42103</v>
      </c>
      <c r="G249" t="str">
        <f ca="1">IFERROR(__xludf.DUMMYFUNCTION("""COMPUTED_VALUE"""),"ВАГОНЫ ЖД СВ")</f>
        <v>ВАГОНЫ ЖД СВ</v>
      </c>
      <c r="H249">
        <f ca="1">IFERROR(__xludf.DUMMYFUNCTION("""COMPUTED_VALUE"""),0)</f>
        <v>0</v>
      </c>
      <c r="I249">
        <f ca="1">IFERROR(__xludf.DUMMYFUNCTION("""COMPUTED_VALUE"""),5377)</f>
        <v>5377</v>
      </c>
      <c r="J249" t="str">
        <f ca="1">IFERROR(__xludf.DUMMYFUNCTION("""COMPUTED_VALUE"""),"1111 (49820-008-49600) ПЕРЕЕЗДНАЯ - ПОПАСНАЯ")</f>
        <v>1111 (49820-008-49600) ПЕРЕЕЗДНАЯ - ПОПАСНАЯ</v>
      </c>
      <c r="K249">
        <f ca="1">IFERROR(__xludf.DUMMYFUNCTION("""COMPUTED_VALUE"""),49820)</f>
        <v>49820</v>
      </c>
      <c r="L249" t="str">
        <f ca="1">IFERROR(__xludf.DUMMYFUNCTION("""COMPUTED_VALUE"""),"ПЕРЕЕЗДНАЯ")</f>
        <v>ПЕРЕЕЗДНАЯ</v>
      </c>
      <c r="M249" t="str">
        <f ca="1">IFERROR(__xludf.DUMMYFUNCTION("""COMPUTED_VALUE"""),"11.08.21 22-40")</f>
        <v>11.08.21 22-40</v>
      </c>
      <c r="N249" t="str">
        <f ca="1">IFERROR(__xludf.DUMMYFUNCTION("""COMPUTED_VALUE"""),"91 ПРДР")</f>
        <v>91 ПРДР</v>
      </c>
      <c r="O249">
        <f ca="1">IFERROR(__xludf.DUMMYFUNCTION("""COMPUTED_VALUE"""),49480)</f>
        <v>49480</v>
      </c>
      <c r="P249" t="str">
        <f ca="1">IFERROR(__xludf.DUMMYFUNCTION("""COMPUTED_VALUE"""),"СОЛЬ")</f>
        <v>СОЛЬ</v>
      </c>
      <c r="Q249">
        <f ca="1">IFERROR(__xludf.DUMMYFUNCTION("""COMPUTED_VALUE"""),49820)</f>
        <v>49820</v>
      </c>
      <c r="R249" t="str">
        <f ca="1">IFERROR(__xludf.DUMMYFUNCTION("""COMPUTED_VALUE"""),"ПЕРЕЕЗДНАЯ")</f>
        <v>ПЕРЕЕЗДНАЯ</v>
      </c>
      <c r="S249" t="str">
        <f ca="1">IFERROR(__xludf.DUMMYFUNCTION("""COMPUTED_VALUE"""),"11.08.21 17-00")</f>
        <v>11.08.21 17-00</v>
      </c>
      <c r="T249">
        <f ca="1">IFERROR(__xludf.DUMMYFUNCTION("""COMPUTED_VALUE"""),8200)</f>
        <v>8200</v>
      </c>
      <c r="U249" t="str">
        <f ca="1">IFERROR(__xludf.DUMMYFUNCTION("""COMPUTED_VALUE"""),"23.04.2022 ДР")</f>
        <v>23.04.2022 ДР</v>
      </c>
      <c r="Z249" t="str">
        <f ca="1">IFERROR(__xludf.DUMMYFUNCTION("""COMPUTED_VALUE"""),"ООО «Нико-Рейл»")</f>
        <v>ООО «Нико-Рейл»</v>
      </c>
      <c r="AA249" t="str">
        <f ca="1">IFERROR(__xludf.DUMMYFUNCTION("""COMPUTED_VALUE"""),"12-9933-01")</f>
        <v>12-9933-01</v>
      </c>
      <c r="AI249" s="21">
        <f ca="1">IFERROR(__xludf.DUMMYFUNCTION("""COMPUTED_VALUE"""),44420.357662037)</f>
        <v>44420.357662037</v>
      </c>
    </row>
    <row r="250" spans="1:35" ht="13" x14ac:dyDescent="0.15">
      <c r="A250">
        <f ca="1">IFERROR(__xludf.DUMMYFUNCTION("""COMPUTED_VALUE"""),899)</f>
        <v>899</v>
      </c>
      <c r="B250" t="str">
        <f ca="1">IFERROR(__xludf.DUMMYFUNCTION("""COMPUTED_VALUE"""),"Лидер")</f>
        <v>Лидер</v>
      </c>
      <c r="C250" t="str">
        <f ca="1">IFERROR(__xludf.DUMMYFUNCTION("""COMPUTED_VALUE"""),"Вагат Транс")</f>
        <v>Вагат Транс</v>
      </c>
      <c r="D250">
        <f ca="1">IFERROR(__xludf.DUMMYFUNCTION("""COMPUTED_VALUE"""),56299381)</f>
        <v>56299381</v>
      </c>
      <c r="E250" t="str">
        <f ca="1">IFERROR(__xludf.DUMMYFUNCTION("""COMPUTED_VALUE"""),"60 ПОЛУВАГОНЫ")</f>
        <v>60 ПОЛУВАГОНЫ</v>
      </c>
      <c r="F250">
        <f ca="1">IFERROR(__xludf.DUMMYFUNCTION("""COMPUTED_VALUE"""),23107)</f>
        <v>23107</v>
      </c>
      <c r="G250" t="str">
        <f ca="1">IFERROR(__xludf.DUMMYFUNCTION("""COMPUTED_VALUE"""),"ПЕСОК СТРОИТ")</f>
        <v>ПЕСОК СТРОИТ</v>
      </c>
      <c r="H250">
        <f ca="1">IFERROR(__xludf.DUMMYFUNCTION("""COMPUTED_VALUE"""),69)</f>
        <v>69</v>
      </c>
      <c r="I250">
        <f ca="1">IFERROR(__xludf.DUMMYFUNCTION("""COMPUTED_VALUE"""),6302)</f>
        <v>6302</v>
      </c>
      <c r="J250" t="str">
        <f ca="1">IFERROR(__xludf.DUMMYFUNCTION("""COMPUTED_VALUE"""),"3891 (36260-031-36240) БЕРЕЗОВ-ОСТР - КОЗОВА")</f>
        <v>3891 (36260-031-36240) БЕРЕЗОВ-ОСТР - КОЗОВА</v>
      </c>
      <c r="K250">
        <f ca="1">IFERROR(__xludf.DUMMYFUNCTION("""COMPUTED_VALUE"""),36240)</f>
        <v>36240</v>
      </c>
      <c r="L250" t="str">
        <f ca="1">IFERROR(__xludf.DUMMYFUNCTION("""COMPUTED_VALUE"""),"КОЗОВА")</f>
        <v>КОЗОВА</v>
      </c>
      <c r="M250" t="str">
        <f ca="1">IFERROR(__xludf.DUMMYFUNCTION("""COMPUTED_VALUE"""),"12.08.21 05-20")</f>
        <v>12.08.21 05-20</v>
      </c>
      <c r="N250" t="str">
        <f ca="1">IFERROR(__xludf.DUMMYFUNCTION("""COMPUTED_VALUE"""),"04 РАСФ")</f>
        <v>04 РАСФ</v>
      </c>
      <c r="O250">
        <f ca="1">IFERROR(__xludf.DUMMYFUNCTION("""COMPUTED_VALUE"""),36240)</f>
        <v>36240</v>
      </c>
      <c r="P250" t="str">
        <f ca="1">IFERROR(__xludf.DUMMYFUNCTION("""COMPUTED_VALUE"""),"КОЗОВА")</f>
        <v>КОЗОВА</v>
      </c>
      <c r="Q250">
        <f ca="1">IFERROR(__xludf.DUMMYFUNCTION("""COMPUTED_VALUE"""),34750)</f>
        <v>34750</v>
      </c>
      <c r="R250" t="str">
        <f ca="1">IFERROR(__xludf.DUMMYFUNCTION("""COMPUTED_VALUE"""),"ПЕНИЗЕВИЧИ")</f>
        <v>ПЕНИЗЕВИЧИ</v>
      </c>
      <c r="S250" t="str">
        <f ca="1">IFERROR(__xludf.DUMMYFUNCTION("""COMPUTED_VALUE"""),"09.08.21 10-10")</f>
        <v>09.08.21 10-10</v>
      </c>
      <c r="T250">
        <f ca="1">IFERROR(__xludf.DUMMYFUNCTION("""COMPUTED_VALUE"""),3437)</f>
        <v>3437</v>
      </c>
      <c r="U250" t="str">
        <f ca="1">IFERROR(__xludf.DUMMYFUNCTION("""COMPUTED_VALUE"""),"10.09.2021 ДР")</f>
        <v>10.09.2021 ДР</v>
      </c>
      <c r="Z250" t="str">
        <f ca="1">IFERROR(__xludf.DUMMYFUNCTION("""COMPUTED_VALUE"""),"ООО ""ВАГАТ-ТРАНС""")</f>
        <v>ООО "ВАГАТ-ТРАНС"</v>
      </c>
      <c r="AA250" t="str">
        <f ca="1">IFERROR(__xludf.DUMMYFUNCTION("""COMPUTED_VALUE"""),"12-132")</f>
        <v>12-132</v>
      </c>
      <c r="AB250" t="str">
        <f ca="1">IFERROR(__xludf.DUMMYFUNCTION("""COMPUTED_VALUE"""),"32 Ю-ЗАП")</f>
        <v>32 Ю-ЗАП</v>
      </c>
      <c r="AC250" t="str">
        <f ca="1">IFERROR(__xludf.DUMMYFUNCTION("""COMPUTED_VALUE"""),"34170 ПОЛОННОЕ")</f>
        <v>34170 ПОЛОННОЕ</v>
      </c>
      <c r="AD250" t="str">
        <f ca="1">IFERROR(__xludf.DUMMYFUNCTION("""COMPUTED_VALUE"""),"10.05.21 06-00")</f>
        <v>10.05.21 06-00</v>
      </c>
      <c r="AE250" t="str">
        <f ca="1">IFERROR(__xludf.DUMMYFUNCTION("""COMPUTED_VALUE"""),"540 НEИCПPAВНOCТЬ ЗAПOPA ЛЮКA")</f>
        <v>540 НEИCПPAВНOCТЬ ЗAПOPA ЛЮКA</v>
      </c>
      <c r="AF250" t="str">
        <f ca="1">IFERROR(__xludf.DUMMYFUNCTION("""COMPUTED_VALUE"""),"32 Ю-ЗАП")</f>
        <v>32 Ю-ЗАП</v>
      </c>
      <c r="AG250" t="str">
        <f ca="1">IFERROR(__xludf.DUMMYFUNCTION("""COMPUTED_VALUE"""),"34170 ПОЛОННОЕ")</f>
        <v>34170 ПОЛОННОЕ</v>
      </c>
      <c r="AH250" t="str">
        <f ca="1">IFERROR(__xludf.DUMMYFUNCTION("""COMPUTED_VALUE"""),"25.05.21 18-00")</f>
        <v>25.05.21 18-00</v>
      </c>
      <c r="AI250" s="21">
        <f ca="1">IFERROR(__xludf.DUMMYFUNCTION("""COMPUTED_VALUE"""),44420.357662037)</f>
        <v>44420.357662037</v>
      </c>
    </row>
    <row r="251" spans="1:35" ht="13" x14ac:dyDescent="0.15">
      <c r="A251">
        <f ca="1">IFERROR(__xludf.DUMMYFUNCTION("""COMPUTED_VALUE"""),900)</f>
        <v>900</v>
      </c>
      <c r="B251" t="str">
        <f ca="1">IFERROR(__xludf.DUMMYFUNCTION("""COMPUTED_VALUE"""),"Агрохимресурс")</f>
        <v>Агрохимресурс</v>
      </c>
      <c r="C251" t="str">
        <f ca="1">IFERROR(__xludf.DUMMYFUNCTION("""COMPUTED_VALUE"""),"Вагат Транс")</f>
        <v>Вагат Транс</v>
      </c>
      <c r="D251">
        <f ca="1">IFERROR(__xludf.DUMMYFUNCTION("""COMPUTED_VALUE"""),56367741)</f>
        <v>56367741</v>
      </c>
      <c r="E251" t="str">
        <f ca="1">IFERROR(__xludf.DUMMYFUNCTION("""COMPUTED_VALUE"""),"60 ПОЛУВАГОНЫ")</f>
        <v>60 ПОЛУВАГОНЫ</v>
      </c>
      <c r="F251">
        <f ca="1">IFERROR(__xludf.DUMMYFUNCTION("""COMPUTED_VALUE"""),43304)</f>
        <v>43304</v>
      </c>
      <c r="G251" t="str">
        <f ca="1">IFERROR(__xludf.DUMMYFUNCTION("""COMPUTED_VALUE"""),"КАРБАМИД")</f>
        <v>КАРБАМИД</v>
      </c>
      <c r="H251">
        <f ca="1">IFERROR(__xludf.DUMMYFUNCTION("""COMPUTED_VALUE"""),63)</f>
        <v>63</v>
      </c>
      <c r="I251">
        <f ca="1">IFERROR(__xludf.DUMMYFUNCTION("""COMPUTED_VALUE"""),3166)</f>
        <v>3166</v>
      </c>
      <c r="J251" t="str">
        <f ca="1">IFERROR(__xludf.DUMMYFUNCTION("""COMPUTED_VALUE"""),"3001 (47630-436-47600) ФЕДОРОВКА - МЕЛИТОПОЛЬ")</f>
        <v>3001 (47630-436-47600) ФЕДОРОВКА - МЕЛИТОПОЛЬ</v>
      </c>
      <c r="K251">
        <f ca="1">IFERROR(__xludf.DUMMYFUNCTION("""COMPUTED_VALUE"""),47630)</f>
        <v>47630</v>
      </c>
      <c r="L251" t="str">
        <f ca="1">IFERROR(__xludf.DUMMYFUNCTION("""COMPUTED_VALUE"""),"ФЕДОРОВКА")</f>
        <v>ФЕДОРОВКА</v>
      </c>
      <c r="M251" t="str">
        <f ca="1">IFERROR(__xludf.DUMMYFUNCTION("""COMPUTED_VALUE"""),"11.08.21 11-26")</f>
        <v>11.08.21 11-26</v>
      </c>
      <c r="N251" t="str">
        <f ca="1">IFERROR(__xludf.DUMMYFUNCTION("""COMPUTED_VALUE"""),"85 ПРСТ")</f>
        <v>85 ПРСТ</v>
      </c>
      <c r="O251">
        <f ca="1">IFERROR(__xludf.DUMMYFUNCTION("""COMPUTED_VALUE"""),47760)</f>
        <v>47760</v>
      </c>
      <c r="P251" t="str">
        <f ca="1">IFERROR(__xludf.DUMMYFUNCTION("""COMPUTED_VALUE"""),"ВЕР.ТОКМАК I")</f>
        <v>ВЕР.ТОКМАК I</v>
      </c>
      <c r="Q251">
        <f ca="1">IFERROR(__xludf.DUMMYFUNCTION("""COMPUTED_VALUE"""),32430)</f>
        <v>32430</v>
      </c>
      <c r="R251" t="str">
        <f ca="1">IFERROR(__xludf.DUMMYFUNCTION("""COMPUTED_VALUE"""),"ГОЛУБИЧИ")</f>
        <v>ГОЛУБИЧИ</v>
      </c>
      <c r="S251" t="str">
        <f ca="1">IFERROR(__xludf.DUMMYFUNCTION("""COMPUTED_VALUE"""),"03.08.21 17-40")</f>
        <v>03.08.21 17-40</v>
      </c>
      <c r="T251">
        <f ca="1">IFERROR(__xludf.DUMMYFUNCTION("""COMPUTED_VALUE"""),4165)</f>
        <v>4165</v>
      </c>
      <c r="U251" t="str">
        <f ca="1">IFERROR(__xludf.DUMMYFUNCTION("""COMPUTED_VALUE"""),"17.09.2021 ДР")</f>
        <v>17.09.2021 ДР</v>
      </c>
      <c r="Z251" t="str">
        <f ca="1">IFERROR(__xludf.DUMMYFUNCTION("""COMPUTED_VALUE"""),"ООО ""ВАГАТ-ТРАНС""")</f>
        <v>ООО "ВАГАТ-ТРАНС"</v>
      </c>
      <c r="AA251" t="str">
        <f ca="1">IFERROR(__xludf.DUMMYFUNCTION("""COMPUTED_VALUE"""),"12-132")</f>
        <v>12-132</v>
      </c>
      <c r="AB251" t="str">
        <f ca="1">IFERROR(__xludf.DUMMYFUNCTION("""COMPUTED_VALUE"""),"45 ПРИДН")</f>
        <v>45 ПРИДН</v>
      </c>
      <c r="AC251" t="str">
        <f ca="1">IFERROR(__xludf.DUMMYFUNCTION("""COMPUTED_VALUE"""),"46580 МАРГАНЕЦ")</f>
        <v>46580 МАРГАНЕЦ</v>
      </c>
      <c r="AD251" t="str">
        <f ca="1">IFERROR(__xludf.DUMMYFUNCTION("""COMPUTED_VALUE"""),"22.05.20 08-24")</f>
        <v>22.05.20 08-24</v>
      </c>
      <c r="AE251" t="str">
        <f ca="1">IFERROR(__xludf.DUMMYFUNCTION("""COMPUTED_VALUE"""),"614 OБPЫВ ПО СВАРКЕ,PAЗPЫВ НAКЛAДOК ПОЛУВАГОНА")</f>
        <v>614 OБPЫВ ПО СВАРКЕ,PAЗPЫВ НAКЛAДOК ПОЛУВАГОНА</v>
      </c>
      <c r="AF251" t="str">
        <f ca="1">IFERROR(__xludf.DUMMYFUNCTION("""COMPUTED_VALUE"""),"45 ПРИДН")</f>
        <v>45 ПРИДН</v>
      </c>
      <c r="AG251" t="str">
        <f ca="1">IFERROR(__xludf.DUMMYFUNCTION("""COMPUTED_VALUE"""),"46580 МАРГАНЕЦ")</f>
        <v>46580 МАРГАНЕЦ</v>
      </c>
      <c r="AH251" t="str">
        <f ca="1">IFERROR(__xludf.DUMMYFUNCTION("""COMPUTED_VALUE"""),"22.05.20 11-10")</f>
        <v>22.05.20 11-10</v>
      </c>
      <c r="AI251" s="21">
        <f ca="1">IFERROR(__xludf.DUMMYFUNCTION("""COMPUTED_VALUE"""),44420.357662037)</f>
        <v>44420.357662037</v>
      </c>
    </row>
    <row r="252" spans="1:35" ht="13" x14ac:dyDescent="0.15">
      <c r="A252">
        <f ca="1">IFERROR(__xludf.DUMMYFUNCTION("""COMPUTED_VALUE"""),1079)</f>
        <v>1079</v>
      </c>
      <c r="B252" t="str">
        <f ca="1">IFERROR(__xludf.DUMMYFUNCTION("""COMPUTED_VALUE"""),"Техрейс")</f>
        <v>Техрейс</v>
      </c>
      <c r="C252" t="str">
        <f ca="1">IFERROR(__xludf.DUMMYFUNCTION("""COMPUTED_VALUE"""),"УГЛЕПРОМТРАНС")</f>
        <v>УГЛЕПРОМТРАНС</v>
      </c>
      <c r="D252">
        <f ca="1">IFERROR(__xludf.DUMMYFUNCTION("""COMPUTED_VALUE"""),56565344)</f>
        <v>56565344</v>
      </c>
      <c r="E252" t="str">
        <f ca="1">IFERROR(__xludf.DUMMYFUNCTION("""COMPUTED_VALUE"""),"60 ПОЛУВАГОНЫ")</f>
        <v>60 ПОЛУВАГОНЫ</v>
      </c>
      <c r="F252">
        <f ca="1">IFERROR(__xludf.DUMMYFUNCTION("""COMPUTED_VALUE"""),42119)</f>
        <v>42119</v>
      </c>
      <c r="G252" t="str">
        <f ca="1">IFERROR(__xludf.DUMMYFUNCTION("""COMPUTED_VALUE"""),"ВАГОНЫ ЖД РЕМОН")</f>
        <v>ВАГОНЫ ЖД РЕМОН</v>
      </c>
      <c r="H252">
        <f ca="1">IFERROR(__xludf.DUMMYFUNCTION("""COMPUTED_VALUE"""),0)</f>
        <v>0</v>
      </c>
      <c r="I252">
        <f ca="1">IFERROR(__xludf.DUMMYFUNCTION("""COMPUTED_VALUE"""),4689)</f>
        <v>4689</v>
      </c>
      <c r="J252" t="str">
        <f ca="1">IFERROR(__xludf.DUMMYFUNCTION("""COMPUTED_VALUE"""),"2710 (45000-683-48200) НИЖНЕДН-УЗЕЛ - ПОКРОВСК")</f>
        <v>2710 (45000-683-48200) НИЖНЕДН-УЗЕЛ - ПОКРОВСК</v>
      </c>
      <c r="K252">
        <f ca="1">IFERROR(__xludf.DUMMYFUNCTION("""COMPUTED_VALUE"""),48200)</f>
        <v>48200</v>
      </c>
      <c r="L252" t="str">
        <f ca="1">IFERROR(__xludf.DUMMYFUNCTION("""COMPUTED_VALUE"""),"ПОКРОВСК")</f>
        <v>ПОКРОВСК</v>
      </c>
      <c r="M252" t="str">
        <f ca="1">IFERROR(__xludf.DUMMYFUNCTION("""COMPUTED_VALUE"""),"05.08.21 23-30")</f>
        <v>05.08.21 23-30</v>
      </c>
      <c r="N252" t="str">
        <f ca="1">IFERROR(__xludf.DUMMYFUNCTION("""COMPUTED_VALUE"""),"98 ОТОТ")</f>
        <v>98 ОТОТ</v>
      </c>
      <c r="O252">
        <f ca="1">IFERROR(__xludf.DUMMYFUNCTION("""COMPUTED_VALUE"""),48200)</f>
        <v>48200</v>
      </c>
      <c r="P252" t="str">
        <f ca="1">IFERROR(__xludf.DUMMYFUNCTION("""COMPUTED_VALUE"""),"ПОКРОВСК")</f>
        <v>ПОКРОВСК</v>
      </c>
      <c r="Q252">
        <f ca="1">IFERROR(__xludf.DUMMYFUNCTION("""COMPUTED_VALUE"""),46000)</f>
        <v>46000</v>
      </c>
      <c r="R252" t="str">
        <f ca="1">IFERROR(__xludf.DUMMYFUNCTION("""COMPUTED_VALUE"""),"ЗАПОРОЖ-ЛЕВ")</f>
        <v>ЗАПОРОЖ-ЛЕВ</v>
      </c>
      <c r="S252" t="str">
        <f ca="1">IFERROR(__xludf.DUMMYFUNCTION("""COMPUTED_VALUE"""),"29.07.21 08-45")</f>
        <v>29.07.21 08-45</v>
      </c>
      <c r="T252">
        <f ca="1">IFERROR(__xludf.DUMMYFUNCTION("""COMPUTED_VALUE"""),8200)</f>
        <v>8200</v>
      </c>
      <c r="U252" t="str">
        <f ca="1">IFERROR(__xludf.DUMMYFUNCTION("""COMPUTED_VALUE"""),"05.08.2021 ТР-1")</f>
        <v>05.08.2021 ТР-1</v>
      </c>
      <c r="Z252" t="str">
        <f ca="1">IFERROR(__xludf.DUMMYFUNCTION("""COMPUTED_VALUE"""),"ООО ""УГЛЕПРОМТРАНС""")</f>
        <v>ООО "УГЛЕПРОМТРАНС"</v>
      </c>
      <c r="AA252" t="str">
        <f ca="1">IFERROR(__xludf.DUMMYFUNCTION("""COMPUTED_VALUE"""),"12-757")</f>
        <v>12-757</v>
      </c>
      <c r="AB252" t="str">
        <f ca="1">IFERROR(__xludf.DUMMYFUNCTION("""COMPUTED_VALUE"""),"45 ПРИДН")</f>
        <v>45 ПРИДН</v>
      </c>
      <c r="AC252" t="str">
        <f ca="1">IFERROR(__xludf.DUMMYFUNCTION("""COMPUTED_VALUE"""),"46000 ЗАПОРОЖ-ЛЕВ")</f>
        <v>46000 ЗАПОРОЖ-ЛЕВ</v>
      </c>
      <c r="AD252" t="str">
        <f ca="1">IFERROR(__xludf.DUMMYFUNCTION("""COMPUTED_VALUE"""),"29.07.21 08-05")</f>
        <v>29.07.21 08-05</v>
      </c>
      <c r="AE252" t="str">
        <f ca="1">IFERROR(__xludf.DUMMYFUNCTION("""COMPUTED_VALUE"""),"571 ИCТEК КAЛЕНДАРНЫЙ CPOК КAПИТAЛЬНОГО PEМOНТA")</f>
        <v>571 ИCТEК КAЛЕНДАРНЫЙ CPOК КAПИТAЛЬНОГО PEМOНТA</v>
      </c>
      <c r="AF252" t="str">
        <f ca="1">IFERROR(__xludf.DUMMYFUNCTION("""COMPUTED_VALUE"""),"48 ДОН")</f>
        <v>48 ДОН</v>
      </c>
      <c r="AG252" t="str">
        <f ca="1">IFERROR(__xludf.DUMMYFUNCTION("""COMPUTED_VALUE"""),"48200 ПОКРОВСК")</f>
        <v>48200 ПОКРОВСК</v>
      </c>
      <c r="AH252" t="str">
        <f ca="1">IFERROR(__xludf.DUMMYFUNCTION("""COMPUTED_VALUE"""),"15.12.20 18-00")</f>
        <v>15.12.20 18-00</v>
      </c>
      <c r="AI252" s="21">
        <f ca="1">IFERROR(__xludf.DUMMYFUNCTION("""COMPUTED_VALUE"""),44420.357662037)</f>
        <v>44420.357662037</v>
      </c>
    </row>
    <row r="253" spans="1:35" ht="13" x14ac:dyDescent="0.15">
      <c r="A253">
        <f ca="1">IFERROR(__xludf.DUMMYFUNCTION("""COMPUTED_VALUE"""),1080)</f>
        <v>1080</v>
      </c>
      <c r="B253" t="str">
        <f ca="1">IFERROR(__xludf.DUMMYFUNCTION("""COMPUTED_VALUE"""),"Техрейс")</f>
        <v>Техрейс</v>
      </c>
      <c r="C253" t="str">
        <f ca="1">IFERROR(__xludf.DUMMYFUNCTION("""COMPUTED_VALUE"""),"УГЛЕПРОМТРАНС")</f>
        <v>УГЛЕПРОМТРАНС</v>
      </c>
      <c r="D253">
        <f ca="1">IFERROR(__xludf.DUMMYFUNCTION("""COMPUTED_VALUE"""),56565302)</f>
        <v>56565302</v>
      </c>
      <c r="E253" t="str">
        <f ca="1">IFERROR(__xludf.DUMMYFUNCTION("""COMPUTED_VALUE"""),"60 ПОЛУВАГОНЫ")</f>
        <v>60 ПОЛУВАГОНЫ</v>
      </c>
      <c r="F253">
        <f ca="1">IFERROR(__xludf.DUMMYFUNCTION("""COMPUTED_VALUE"""),42103)</f>
        <v>42103</v>
      </c>
      <c r="G253" t="str">
        <f ca="1">IFERROR(__xludf.DUMMYFUNCTION("""COMPUTED_VALUE"""),"ВАГОНЫ ЖД СВ")</f>
        <v>ВАГОНЫ ЖД СВ</v>
      </c>
      <c r="H253">
        <f ca="1">IFERROR(__xludf.DUMMYFUNCTION("""COMPUTED_VALUE"""),0)</f>
        <v>0</v>
      </c>
      <c r="I253">
        <f ca="1">IFERROR(__xludf.DUMMYFUNCTION("""COMPUTED_VALUE"""),4689)</f>
        <v>4689</v>
      </c>
      <c r="J253" t="str">
        <f ca="1">IFERROR(__xludf.DUMMYFUNCTION("""COMPUTED_VALUE"""),"2710 (45000-683-48200) НИЖНЕДН-УЗЕЛ - ПОКРОВСК")</f>
        <v>2710 (45000-683-48200) НИЖНЕДН-УЗЕЛ - ПОКРОВСК</v>
      </c>
      <c r="K253">
        <f ca="1">IFERROR(__xludf.DUMMYFUNCTION("""COMPUTED_VALUE"""),48200)</f>
        <v>48200</v>
      </c>
      <c r="L253" t="str">
        <f ca="1">IFERROR(__xludf.DUMMYFUNCTION("""COMPUTED_VALUE"""),"ПОКРОВСК")</f>
        <v>ПОКРОВСК</v>
      </c>
      <c r="M253" t="str">
        <f ca="1">IFERROR(__xludf.DUMMYFUNCTION("""COMPUTED_VALUE"""),"05.08.21 23-30")</f>
        <v>05.08.21 23-30</v>
      </c>
      <c r="N253" t="str">
        <f ca="1">IFERROR(__xludf.DUMMYFUNCTION("""COMPUTED_VALUE"""),"98 ОТОТ")</f>
        <v>98 ОТОТ</v>
      </c>
      <c r="O253">
        <f ca="1">IFERROR(__xludf.DUMMYFUNCTION("""COMPUTED_VALUE"""),48200)</f>
        <v>48200</v>
      </c>
      <c r="P253" t="str">
        <f ca="1">IFERROR(__xludf.DUMMYFUNCTION("""COMPUTED_VALUE"""),"ПОКРОВСК")</f>
        <v>ПОКРОВСК</v>
      </c>
      <c r="Q253">
        <f ca="1">IFERROR(__xludf.DUMMYFUNCTION("""COMPUTED_VALUE"""),40200)</f>
        <v>40200</v>
      </c>
      <c r="R253" t="str">
        <f ca="1">IFERROR(__xludf.DUMMYFUNCTION("""COMPUTED_VALUE"""),"ЧЕРНОМОРСК-П")</f>
        <v>ЧЕРНОМОРСК-П</v>
      </c>
      <c r="S253" t="str">
        <f ca="1">IFERROR(__xludf.DUMMYFUNCTION("""COMPUTED_VALUE"""),"30.07.21 10-40")</f>
        <v>30.07.21 10-40</v>
      </c>
      <c r="T253">
        <f ca="1">IFERROR(__xludf.DUMMYFUNCTION("""COMPUTED_VALUE"""),8200)</f>
        <v>8200</v>
      </c>
      <c r="U253" t="str">
        <f ca="1">IFERROR(__xludf.DUMMYFUNCTION("""COMPUTED_VALUE"""),"18.08.2021 ТР-1")</f>
        <v>18.08.2021 ТР-1</v>
      </c>
      <c r="Z253" t="str">
        <f ca="1">IFERROR(__xludf.DUMMYFUNCTION("""COMPUTED_VALUE"""),"ООО ""УГЛЕПРОМТРАНС""")</f>
        <v>ООО "УГЛЕПРОМТРАНС"</v>
      </c>
      <c r="AA253" t="str">
        <f ca="1">IFERROR(__xludf.DUMMYFUNCTION("""COMPUTED_VALUE"""),"12-757")</f>
        <v>12-757</v>
      </c>
      <c r="AB253" t="str">
        <f ca="1">IFERROR(__xludf.DUMMYFUNCTION("""COMPUTED_VALUE"""),"40 ОД")</f>
        <v>40 ОД</v>
      </c>
      <c r="AC253" t="str">
        <f ca="1">IFERROR(__xludf.DUMMYFUNCTION("""COMPUTED_VALUE"""),"41510 НИКОЛАЕВ")</f>
        <v>41510 НИКОЛАЕВ</v>
      </c>
      <c r="AD253" t="str">
        <f ca="1">IFERROR(__xludf.DUMMYFUNCTION("""COMPUTED_VALUE"""),"16.06.21 10-44")</f>
        <v>16.06.21 10-44</v>
      </c>
      <c r="AE253" t="str">
        <f ca="1">IFERROR(__xludf.DUMMYFUNCTION("""COMPUTED_VALUE"""),"540")</f>
        <v>540</v>
      </c>
      <c r="AF253" t="str">
        <f ca="1">IFERROR(__xludf.DUMMYFUNCTION("""COMPUTED_VALUE"""),"40 ОД")</f>
        <v>40 ОД</v>
      </c>
      <c r="AG253" t="str">
        <f ca="1">IFERROR(__xludf.DUMMYFUNCTION("""COMPUTED_VALUE"""),"41510 НИКОЛАЕВ")</f>
        <v>41510 НИКОЛАЕВ</v>
      </c>
      <c r="AH253" t="str">
        <f ca="1">IFERROR(__xludf.DUMMYFUNCTION("""COMPUTED_VALUE"""),"18.06.21 10-30")</f>
        <v>18.06.21 10-30</v>
      </c>
      <c r="AI253" s="21">
        <f ca="1">IFERROR(__xludf.DUMMYFUNCTION("""COMPUTED_VALUE"""),44420.357662037)</f>
        <v>44420.357662037</v>
      </c>
    </row>
    <row r="254" spans="1:35" ht="13" x14ac:dyDescent="0.15">
      <c r="A254">
        <f ca="1">IFERROR(__xludf.DUMMYFUNCTION("""COMPUTED_VALUE"""),1081)</f>
        <v>1081</v>
      </c>
      <c r="B254" t="str">
        <f ca="1">IFERROR(__xludf.DUMMYFUNCTION("""COMPUTED_VALUE"""),"Техрейс")</f>
        <v>Техрейс</v>
      </c>
      <c r="C254" t="str">
        <f ca="1">IFERROR(__xludf.DUMMYFUNCTION("""COMPUTED_VALUE"""),"УГЛЕПРОМТРАНС")</f>
        <v>УГЛЕПРОМТРАНС</v>
      </c>
      <c r="D254">
        <f ca="1">IFERROR(__xludf.DUMMYFUNCTION("""COMPUTED_VALUE"""),56565286)</f>
        <v>56565286</v>
      </c>
      <c r="E254" t="str">
        <f ca="1">IFERROR(__xludf.DUMMYFUNCTION("""COMPUTED_VALUE"""),"60 ПОЛУВАГОНЫ")</f>
        <v>60 ПОЛУВАГОНЫ</v>
      </c>
      <c r="F254">
        <f ca="1">IFERROR(__xludf.DUMMYFUNCTION("""COMPUTED_VALUE"""),42119)</f>
        <v>42119</v>
      </c>
      <c r="G254" t="str">
        <f ca="1">IFERROR(__xludf.DUMMYFUNCTION("""COMPUTED_VALUE"""),"ВАГОНЫ ЖД РЕМОН")</f>
        <v>ВАГОНЫ ЖД РЕМОН</v>
      </c>
      <c r="H254">
        <f ca="1">IFERROR(__xludf.DUMMYFUNCTION("""COMPUTED_VALUE"""),0)</f>
        <v>0</v>
      </c>
      <c r="I254">
        <f ca="1">IFERROR(__xludf.DUMMYFUNCTION("""COMPUTED_VALUE"""),4689)</f>
        <v>4689</v>
      </c>
      <c r="J254" t="str">
        <f ca="1">IFERROR(__xludf.DUMMYFUNCTION("""COMPUTED_VALUE"""),"2001 (45000-487-45420) НИЖНЕДН-УЗЕЛ - ЧАПЛИНО")</f>
        <v>2001 (45000-487-45420) НИЖНЕДН-УЗЕЛ - ЧАПЛИНО</v>
      </c>
      <c r="K254">
        <f ca="1">IFERROR(__xludf.DUMMYFUNCTION("""COMPUTED_VALUE"""),48200)</f>
        <v>48200</v>
      </c>
      <c r="L254" t="str">
        <f ca="1">IFERROR(__xludf.DUMMYFUNCTION("""COMPUTED_VALUE"""),"ПОКРОВСК")</f>
        <v>ПОКРОВСК</v>
      </c>
      <c r="M254" t="str">
        <f ca="1">IFERROR(__xludf.DUMMYFUNCTION("""COMPUTED_VALUE"""),"23.03.21 09-35")</f>
        <v>23.03.21 09-35</v>
      </c>
      <c r="N254" t="str">
        <f ca="1">IFERROR(__xludf.DUMMYFUNCTION("""COMPUTED_VALUE"""),"98 ОТОТ")</f>
        <v>98 ОТОТ</v>
      </c>
      <c r="O254">
        <f ca="1">IFERROR(__xludf.DUMMYFUNCTION("""COMPUTED_VALUE"""),48200)</f>
        <v>48200</v>
      </c>
      <c r="P254" t="str">
        <f ca="1">IFERROR(__xludf.DUMMYFUNCTION("""COMPUTED_VALUE"""),"ПОКРОВСК")</f>
        <v>ПОКРОВСК</v>
      </c>
      <c r="Q254">
        <f ca="1">IFERROR(__xludf.DUMMYFUNCTION("""COMPUTED_VALUE"""),46000)</f>
        <v>46000</v>
      </c>
      <c r="R254" t="str">
        <f ca="1">IFERROR(__xludf.DUMMYFUNCTION("""COMPUTED_VALUE"""),"ЗАПОРОЖ-ЛЕВ")</f>
        <v>ЗАПОРОЖ-ЛЕВ</v>
      </c>
      <c r="S254" t="str">
        <f ca="1">IFERROR(__xludf.DUMMYFUNCTION("""COMPUTED_VALUE"""),"19.03.21 11-23")</f>
        <v>19.03.21 11-23</v>
      </c>
      <c r="T254">
        <f ca="1">IFERROR(__xludf.DUMMYFUNCTION("""COMPUTED_VALUE"""),8200)</f>
        <v>8200</v>
      </c>
      <c r="U254" t="str">
        <f ca="1">IFERROR(__xludf.DUMMYFUNCTION("""COMPUTED_VALUE"""),"13.08.2021 КР")</f>
        <v>13.08.2021 КР</v>
      </c>
      <c r="Z254" t="str">
        <f ca="1">IFERROR(__xludf.DUMMYFUNCTION("""COMPUTED_VALUE"""),"ООО ""УГЛЕПРОМТРАНС""")</f>
        <v>ООО "УГЛЕПРОМТРАНС"</v>
      </c>
      <c r="AA254" t="str">
        <f ca="1">IFERROR(__xludf.DUMMYFUNCTION("""COMPUTED_VALUE"""),"12-757")</f>
        <v>12-757</v>
      </c>
      <c r="AB254" t="str">
        <f ca="1">IFERROR(__xludf.DUMMYFUNCTION("""COMPUTED_VALUE"""),"48 ДОН")</f>
        <v>48 ДОН</v>
      </c>
      <c r="AC254" t="str">
        <f ca="1">IFERROR(__xludf.DUMMYFUNCTION("""COMPUTED_VALUE"""),"48200 ПОКРОВСК")</f>
        <v>48200 ПОКРОВСК</v>
      </c>
      <c r="AD254" t="str">
        <f ca="1">IFERROR(__xludf.DUMMYFUNCTION("""COMPUTED_VALUE"""),"22.03.21 22-00")</f>
        <v>22.03.21 22-00</v>
      </c>
      <c r="AE254" t="str">
        <f ca="1">IFERROR(__xludf.DUMMYFUNCTION("""COMPUTED_VALUE"""),"579 ИCТEК CPOК CЛУЖБЫ")</f>
        <v>579 ИCТEК CPOК CЛУЖБЫ</v>
      </c>
      <c r="AF254" t="str">
        <f ca="1">IFERROR(__xludf.DUMMYFUNCTION("""COMPUTED_VALUE"""),"45 ПРИДН")</f>
        <v>45 ПРИДН</v>
      </c>
      <c r="AG254" t="str">
        <f ca="1">IFERROR(__xludf.DUMMYFUNCTION("""COMPUTED_VALUE"""),"47660 ДНЕПРОРУДНАЯ")</f>
        <v>47660 ДНЕПРОРУДНАЯ</v>
      </c>
      <c r="AH254" t="str">
        <f ca="1">IFERROR(__xludf.DUMMYFUNCTION("""COMPUTED_VALUE"""),"29.12.20 05-00")</f>
        <v>29.12.20 05-00</v>
      </c>
      <c r="AI254" s="21">
        <f ca="1">IFERROR(__xludf.DUMMYFUNCTION("""COMPUTED_VALUE"""),44420.357662037)</f>
        <v>44420.357662037</v>
      </c>
    </row>
    <row r="255" spans="1:35" ht="13" x14ac:dyDescent="0.15">
      <c r="A255">
        <f ca="1">IFERROR(__xludf.DUMMYFUNCTION("""COMPUTED_VALUE"""),1082)</f>
        <v>1082</v>
      </c>
      <c r="B255" t="str">
        <f ca="1">IFERROR(__xludf.DUMMYFUNCTION("""COMPUTED_VALUE"""),"Техрейс")</f>
        <v>Техрейс</v>
      </c>
      <c r="C255" t="str">
        <f ca="1">IFERROR(__xludf.DUMMYFUNCTION("""COMPUTED_VALUE"""),"УГЛЕПРОМТРАНС")</f>
        <v>УГЛЕПРОМТРАНС</v>
      </c>
      <c r="D255">
        <f ca="1">IFERROR(__xludf.DUMMYFUNCTION("""COMPUTED_VALUE"""),56565187)</f>
        <v>56565187</v>
      </c>
      <c r="E255" t="str">
        <f ca="1">IFERROR(__xludf.DUMMYFUNCTION("""COMPUTED_VALUE"""),"60 ПОЛУВАГОНЫ")</f>
        <v>60 ПОЛУВАГОНЫ</v>
      </c>
      <c r="F255">
        <f ca="1">IFERROR(__xludf.DUMMYFUNCTION("""COMPUTED_VALUE"""),42119)</f>
        <v>42119</v>
      </c>
      <c r="G255" t="str">
        <f ca="1">IFERROR(__xludf.DUMMYFUNCTION("""COMPUTED_VALUE"""),"ВАГОНЫ ЖД РЕМОН")</f>
        <v>ВАГОНЫ ЖД РЕМОН</v>
      </c>
      <c r="H255">
        <f ca="1">IFERROR(__xludf.DUMMYFUNCTION("""COMPUTED_VALUE"""),0)</f>
        <v>0</v>
      </c>
      <c r="I255">
        <f ca="1">IFERROR(__xludf.DUMMYFUNCTION("""COMPUTED_VALUE"""),4689)</f>
        <v>4689</v>
      </c>
      <c r="J255" t="str">
        <f ca="1">IFERROR(__xludf.DUMMYFUNCTION("""COMPUTED_VALUE"""),"0000 (00000-000-00000)  -")</f>
        <v>0000 (00000-000-00000)  -</v>
      </c>
      <c r="K255">
        <f ca="1">IFERROR(__xludf.DUMMYFUNCTION("""COMPUTED_VALUE"""),48200)</f>
        <v>48200</v>
      </c>
      <c r="L255" t="str">
        <f ca="1">IFERROR(__xludf.DUMMYFUNCTION("""COMPUTED_VALUE"""),"ПОКРОВСК")</f>
        <v>ПОКРОВСК</v>
      </c>
      <c r="M255" t="str">
        <f ca="1">IFERROR(__xludf.DUMMYFUNCTION("""COMPUTED_VALUE"""),"08.06.21 10-05")</f>
        <v>08.06.21 10-05</v>
      </c>
      <c r="N255" t="str">
        <f ca="1">IFERROR(__xludf.DUMMYFUNCTION("""COMPUTED_VALUE"""),"53 ВУ23")</f>
        <v>53 ВУ23</v>
      </c>
      <c r="O255">
        <f ca="1">IFERROR(__xludf.DUMMYFUNCTION("""COMPUTED_VALUE"""),48200)</f>
        <v>48200</v>
      </c>
      <c r="P255" t="str">
        <f ca="1">IFERROR(__xludf.DUMMYFUNCTION("""COMPUTED_VALUE"""),"ПОКРОВСК")</f>
        <v>ПОКРОВСК</v>
      </c>
      <c r="Q255">
        <f ca="1">IFERROR(__xludf.DUMMYFUNCTION("""COMPUTED_VALUE"""),38830)</f>
        <v>38830</v>
      </c>
      <c r="R255" t="str">
        <f ca="1">IFERROR(__xludf.DUMMYFUNCTION("""COMPUTED_VALUE"""),"ЯМНИЦА")</f>
        <v>ЯМНИЦА</v>
      </c>
      <c r="S255" t="str">
        <f ca="1">IFERROR(__xludf.DUMMYFUNCTION("""COMPUTED_VALUE"""),"19.03.21 02-25")</f>
        <v>19.03.21 02-25</v>
      </c>
      <c r="T255">
        <f ca="1">IFERROR(__xludf.DUMMYFUNCTION("""COMPUTED_VALUE"""),8199)</f>
        <v>8199</v>
      </c>
      <c r="U255" t="str">
        <f ca="1">IFERROR(__xludf.DUMMYFUNCTION("""COMPUTED_VALUE"""),"13.08.2021 КР")</f>
        <v>13.08.2021 КР</v>
      </c>
      <c r="Z255" t="str">
        <f ca="1">IFERROR(__xludf.DUMMYFUNCTION("""COMPUTED_VALUE"""),"ООО ""УГЛЕПРОМТРАНС""")</f>
        <v>ООО "УГЛЕПРОМТРАНС"</v>
      </c>
      <c r="AA255" t="str">
        <f ca="1">IFERROR(__xludf.DUMMYFUNCTION("""COMPUTED_VALUE"""),"12-757")</f>
        <v>12-757</v>
      </c>
      <c r="AB255" t="str">
        <f ca="1">IFERROR(__xludf.DUMMYFUNCTION("""COMPUTED_VALUE"""),"48 ДОН")</f>
        <v>48 ДОН</v>
      </c>
      <c r="AC255" t="str">
        <f ca="1">IFERROR(__xludf.DUMMYFUNCTION("""COMPUTED_VALUE"""),"48200 ПОКРОВСК")</f>
        <v>48200 ПОКРОВСК</v>
      </c>
      <c r="AD255" t="str">
        <f ca="1">IFERROR(__xludf.DUMMYFUNCTION("""COMPUTED_VALUE"""),"08.06.21 10-05")</f>
        <v>08.06.21 10-05</v>
      </c>
      <c r="AE255" t="str">
        <f ca="1">IFERROR(__xludf.DUMMYFUNCTION("""COMPUTED_VALUE"""),"579 ИCТEК CPOК CЛУЖБЫ")</f>
        <v>579 ИCТEК CPOК CЛУЖБЫ</v>
      </c>
      <c r="AF255" t="str">
        <f ca="1">IFERROR(__xludf.DUMMYFUNCTION("""COMPUTED_VALUE"""),"35 ЛЬВ")</f>
        <v>35 ЛЬВ</v>
      </c>
      <c r="AG255" t="str">
        <f ca="1">IFERROR(__xludf.DUMMYFUNCTION("""COMPUTED_VALUE"""),"38010 ЧОП")</f>
        <v>38010 ЧОП</v>
      </c>
      <c r="AH255" t="str">
        <f ca="1">IFERROR(__xludf.DUMMYFUNCTION("""COMPUTED_VALUE"""),"23.09.20 10-00")</f>
        <v>23.09.20 10-00</v>
      </c>
      <c r="AI255" s="21">
        <f ca="1">IFERROR(__xludf.DUMMYFUNCTION("""COMPUTED_VALUE"""),44420.357662037)</f>
        <v>44420.357662037</v>
      </c>
    </row>
    <row r="256" spans="1:35" ht="13" x14ac:dyDescent="0.15">
      <c r="A256">
        <f ca="1">IFERROR(__xludf.DUMMYFUNCTION("""COMPUTED_VALUE"""),1083)</f>
        <v>1083</v>
      </c>
      <c r="B256" t="str">
        <f ca="1">IFERROR(__xludf.DUMMYFUNCTION("""COMPUTED_VALUE"""),"Техрейс")</f>
        <v>Техрейс</v>
      </c>
      <c r="C256" t="str">
        <f ca="1">IFERROR(__xludf.DUMMYFUNCTION("""COMPUTED_VALUE"""),"УГЛЕПРОМТРАНС")</f>
        <v>УГЛЕПРОМТРАНС</v>
      </c>
      <c r="D256">
        <f ca="1">IFERROR(__xludf.DUMMYFUNCTION("""COMPUTED_VALUE"""),56565203)</f>
        <v>56565203</v>
      </c>
      <c r="E256" t="str">
        <f ca="1">IFERROR(__xludf.DUMMYFUNCTION("""COMPUTED_VALUE"""),"60 ПОЛУВАГОНЫ")</f>
        <v>60 ПОЛУВАГОНЫ</v>
      </c>
      <c r="F256">
        <f ca="1">IFERROR(__xludf.DUMMYFUNCTION("""COMPUTED_VALUE"""),42119)</f>
        <v>42119</v>
      </c>
      <c r="G256" t="str">
        <f ca="1">IFERROR(__xludf.DUMMYFUNCTION("""COMPUTED_VALUE"""),"ВАГОНЫ ЖД РЕМОН")</f>
        <v>ВАГОНЫ ЖД РЕМОН</v>
      </c>
      <c r="H256">
        <f ca="1">IFERROR(__xludf.DUMMYFUNCTION("""COMPUTED_VALUE"""),0)</f>
        <v>0</v>
      </c>
      <c r="I256">
        <f ca="1">IFERROR(__xludf.DUMMYFUNCTION("""COMPUTED_VALUE"""),4689)</f>
        <v>4689</v>
      </c>
      <c r="J256" t="str">
        <f ca="1">IFERROR(__xludf.DUMMYFUNCTION("""COMPUTED_VALUE"""),"0000 (00000-000-00000)  -")</f>
        <v>0000 (00000-000-00000)  -</v>
      </c>
      <c r="K256">
        <f ca="1">IFERROR(__xludf.DUMMYFUNCTION("""COMPUTED_VALUE"""),48200)</f>
        <v>48200</v>
      </c>
      <c r="L256" t="str">
        <f ca="1">IFERROR(__xludf.DUMMYFUNCTION("""COMPUTED_VALUE"""),"ПОКРОВСК")</f>
        <v>ПОКРОВСК</v>
      </c>
      <c r="M256" t="str">
        <f ca="1">IFERROR(__xludf.DUMMYFUNCTION("""COMPUTED_VALUE"""),"24.03.21 07-00")</f>
        <v>24.03.21 07-00</v>
      </c>
      <c r="N256" t="str">
        <f ca="1">IFERROR(__xludf.DUMMYFUNCTION("""COMPUTED_VALUE"""),"98 ОТОТ")</f>
        <v>98 ОТОТ</v>
      </c>
      <c r="O256">
        <f ca="1">IFERROR(__xludf.DUMMYFUNCTION("""COMPUTED_VALUE"""),48200)</f>
        <v>48200</v>
      </c>
      <c r="P256" t="str">
        <f ca="1">IFERROR(__xludf.DUMMYFUNCTION("""COMPUTED_VALUE"""),"ПОКРОВСК")</f>
        <v>ПОКРОВСК</v>
      </c>
      <c r="Q256">
        <f ca="1">IFERROR(__xludf.DUMMYFUNCTION("""COMPUTED_VALUE"""),46000)</f>
        <v>46000</v>
      </c>
      <c r="R256" t="str">
        <f ca="1">IFERROR(__xludf.DUMMYFUNCTION("""COMPUTED_VALUE"""),"ЗАПОРОЖ-ЛЕВ")</f>
        <v>ЗАПОРОЖ-ЛЕВ</v>
      </c>
      <c r="S256" t="str">
        <f ca="1">IFERROR(__xludf.DUMMYFUNCTION("""COMPUTED_VALUE"""),"21.03.21 08-57")</f>
        <v>21.03.21 08-57</v>
      </c>
      <c r="T256">
        <f ca="1">IFERROR(__xludf.DUMMYFUNCTION("""COMPUTED_VALUE"""),8200)</f>
        <v>8200</v>
      </c>
      <c r="U256" t="str">
        <f ca="1">IFERROR(__xludf.DUMMYFUNCTION("""COMPUTED_VALUE"""),"13.08.2021 КР")</f>
        <v>13.08.2021 КР</v>
      </c>
      <c r="Z256" t="str">
        <f ca="1">IFERROR(__xludf.DUMMYFUNCTION("""COMPUTED_VALUE"""),"ООО ""УГЛЕПРОМТРАНС""")</f>
        <v>ООО "УГЛЕПРОМТРАНС"</v>
      </c>
      <c r="AA256" t="str">
        <f ca="1">IFERROR(__xludf.DUMMYFUNCTION("""COMPUTED_VALUE"""),"12-757")</f>
        <v>12-757</v>
      </c>
      <c r="AB256" t="str">
        <f ca="1">IFERROR(__xludf.DUMMYFUNCTION("""COMPUTED_VALUE"""),"48 ДОН")</f>
        <v>48 ДОН</v>
      </c>
      <c r="AC256" t="str">
        <f ca="1">IFERROR(__xludf.DUMMYFUNCTION("""COMPUTED_VALUE"""),"48200 ПОКРОВСК")</f>
        <v>48200 ПОКРОВСК</v>
      </c>
      <c r="AD256" t="str">
        <f ca="1">IFERROR(__xludf.DUMMYFUNCTION("""COMPUTED_VALUE"""),"23.03.21 09-10")</f>
        <v>23.03.21 09-10</v>
      </c>
      <c r="AE256" t="str">
        <f ca="1">IFERROR(__xludf.DUMMYFUNCTION("""COMPUTED_VALUE"""),"579 ИCТEК CPOК CЛУЖБЫ")</f>
        <v>579 ИCТEК CPOК CЛУЖБЫ</v>
      </c>
      <c r="AF256" t="str">
        <f ca="1">IFERROR(__xludf.DUMMYFUNCTION("""COMPUTED_VALUE"""),"48 ДОН")</f>
        <v>48 ДОН</v>
      </c>
      <c r="AG256" t="str">
        <f ca="1">IFERROR(__xludf.DUMMYFUNCTION("""COMPUTED_VALUE"""),"48200 ПОКРОВСК")</f>
        <v>48200 ПОКРОВСК</v>
      </c>
      <c r="AH256" t="str">
        <f ca="1">IFERROR(__xludf.DUMMYFUNCTION("""COMPUTED_VALUE"""),"23.03.20 16-00")</f>
        <v>23.03.20 16-00</v>
      </c>
      <c r="AI256" s="21">
        <f ca="1">IFERROR(__xludf.DUMMYFUNCTION("""COMPUTED_VALUE"""),44420.357662037)</f>
        <v>44420.357662037</v>
      </c>
    </row>
    <row r="257" spans="1:35" ht="13" x14ac:dyDescent="0.15">
      <c r="A257">
        <f ca="1">IFERROR(__xludf.DUMMYFUNCTION("""COMPUTED_VALUE"""),1084)</f>
        <v>1084</v>
      </c>
      <c r="B257" t="str">
        <f ca="1">IFERROR(__xludf.DUMMYFUNCTION("""COMPUTED_VALUE"""),"Техрейс")</f>
        <v>Техрейс</v>
      </c>
      <c r="C257" t="str">
        <f ca="1">IFERROR(__xludf.DUMMYFUNCTION("""COMPUTED_VALUE"""),"УГЛЕПРОМТРАНС")</f>
        <v>УГЛЕПРОМТРАНС</v>
      </c>
      <c r="D257">
        <f ca="1">IFERROR(__xludf.DUMMYFUNCTION("""COMPUTED_VALUE"""),56565260)</f>
        <v>56565260</v>
      </c>
      <c r="E257" t="str">
        <f ca="1">IFERROR(__xludf.DUMMYFUNCTION("""COMPUTED_VALUE"""),"60 ПОЛУВАГОНЫ")</f>
        <v>60 ПОЛУВАГОНЫ</v>
      </c>
      <c r="F257">
        <f ca="1">IFERROR(__xludf.DUMMYFUNCTION("""COMPUTED_VALUE"""),42103)</f>
        <v>42103</v>
      </c>
      <c r="G257" t="str">
        <f ca="1">IFERROR(__xludf.DUMMYFUNCTION("""COMPUTED_VALUE"""),"ВАГОНЫ ЖД СВ")</f>
        <v>ВАГОНЫ ЖД СВ</v>
      </c>
      <c r="H257">
        <f ca="1">IFERROR(__xludf.DUMMYFUNCTION("""COMPUTED_VALUE"""),0)</f>
        <v>0</v>
      </c>
      <c r="I257">
        <f ca="1">IFERROR(__xludf.DUMMYFUNCTION("""COMPUTED_VALUE"""),4689)</f>
        <v>4689</v>
      </c>
      <c r="J257" t="str">
        <f ca="1">IFERROR(__xludf.DUMMYFUNCTION("""COMPUTED_VALUE"""),"2708 (45000-768-48200) НИЖНЕДН-УЗЕЛ - ПОКРОВСК")</f>
        <v>2708 (45000-768-48200) НИЖНЕДН-УЗЕЛ - ПОКРОВСК</v>
      </c>
      <c r="K257">
        <f ca="1">IFERROR(__xludf.DUMMYFUNCTION("""COMPUTED_VALUE"""),48200)</f>
        <v>48200</v>
      </c>
      <c r="L257" t="str">
        <f ca="1">IFERROR(__xludf.DUMMYFUNCTION("""COMPUTED_VALUE"""),"ПОКРОВСК")</f>
        <v>ПОКРОВСК</v>
      </c>
      <c r="M257" t="str">
        <f ca="1">IFERROR(__xludf.DUMMYFUNCTION("""COMPUTED_VALUE"""),"08.06.21 10-00")</f>
        <v>08.06.21 10-00</v>
      </c>
      <c r="N257" t="str">
        <f ca="1">IFERROR(__xludf.DUMMYFUNCTION("""COMPUTED_VALUE"""),"53 ВУ23")</f>
        <v>53 ВУ23</v>
      </c>
      <c r="O257">
        <f ca="1">IFERROR(__xludf.DUMMYFUNCTION("""COMPUTED_VALUE"""),48200)</f>
        <v>48200</v>
      </c>
      <c r="P257" t="str">
        <f ca="1">IFERROR(__xludf.DUMMYFUNCTION("""COMPUTED_VALUE"""),"ПОКРОВСК")</f>
        <v>ПОКРОВСК</v>
      </c>
      <c r="Q257">
        <f ca="1">IFERROR(__xludf.DUMMYFUNCTION("""COMPUTED_VALUE"""),45190)</f>
        <v>45190</v>
      </c>
      <c r="R257" t="str">
        <f ca="1">IFERROR(__xludf.DUMMYFUNCTION("""COMPUTED_VALUE"""),"САМАРОВКА")</f>
        <v>САМАРОВКА</v>
      </c>
      <c r="S257" t="str">
        <f ca="1">IFERROR(__xludf.DUMMYFUNCTION("""COMPUTED_VALUE"""),"11.05.21 18-30")</f>
        <v>11.05.21 18-30</v>
      </c>
      <c r="T257">
        <f ca="1">IFERROR(__xludf.DUMMYFUNCTION("""COMPUTED_VALUE"""),8200)</f>
        <v>8200</v>
      </c>
      <c r="U257" t="str">
        <f ca="1">IFERROR(__xludf.DUMMYFUNCTION("""COMPUTED_VALUE"""),"13.08.2021 КР")</f>
        <v>13.08.2021 КР</v>
      </c>
      <c r="Z257" t="str">
        <f ca="1">IFERROR(__xludf.DUMMYFUNCTION("""COMPUTED_VALUE"""),"ООО ""УГЛЕПРОМТРАНС""")</f>
        <v>ООО "УГЛЕПРОМТРАНС"</v>
      </c>
      <c r="AA257" t="str">
        <f ca="1">IFERROR(__xludf.DUMMYFUNCTION("""COMPUTED_VALUE"""),"12-757")</f>
        <v>12-757</v>
      </c>
      <c r="AB257" t="str">
        <f ca="1">IFERROR(__xludf.DUMMYFUNCTION("""COMPUTED_VALUE"""),"48 ДОН")</f>
        <v>48 ДОН</v>
      </c>
      <c r="AC257" t="str">
        <f ca="1">IFERROR(__xludf.DUMMYFUNCTION("""COMPUTED_VALUE"""),"48200 ПОКРОВСК")</f>
        <v>48200 ПОКРОВСК</v>
      </c>
      <c r="AD257" t="str">
        <f ca="1">IFERROR(__xludf.DUMMYFUNCTION("""COMPUTED_VALUE"""),"08.06.21 10-00")</f>
        <v>08.06.21 10-00</v>
      </c>
      <c r="AE257" t="str">
        <f ca="1">IFERROR(__xludf.DUMMYFUNCTION("""COMPUTED_VALUE"""),"579 ИCТEК CPOК CЛУЖБЫ")</f>
        <v>579 ИCТEК CPOК CЛУЖБЫ</v>
      </c>
      <c r="AF257" t="str">
        <f ca="1">IFERROR(__xludf.DUMMYFUNCTION("""COMPUTED_VALUE"""),"48 ДОН")</f>
        <v>48 ДОН</v>
      </c>
      <c r="AG257" t="str">
        <f ca="1">IFERROR(__xludf.DUMMYFUNCTION("""COMPUTED_VALUE"""),"49480 СОЛЬ")</f>
        <v>49480 СОЛЬ</v>
      </c>
      <c r="AH257" t="str">
        <f ca="1">IFERROR(__xludf.DUMMYFUNCTION("""COMPUTED_VALUE"""),"04.04.21 16-00")</f>
        <v>04.04.21 16-00</v>
      </c>
      <c r="AI257" s="21">
        <f ca="1">IFERROR(__xludf.DUMMYFUNCTION("""COMPUTED_VALUE"""),44420.357662037)</f>
        <v>44420.357662037</v>
      </c>
    </row>
    <row r="258" spans="1:35" ht="13" x14ac:dyDescent="0.15">
      <c r="A258">
        <f ca="1">IFERROR(__xludf.DUMMYFUNCTION("""COMPUTED_VALUE"""),1085)</f>
        <v>1085</v>
      </c>
      <c r="B258" t="str">
        <f ca="1">IFERROR(__xludf.DUMMYFUNCTION("""COMPUTED_VALUE"""),"Техрейс")</f>
        <v>Техрейс</v>
      </c>
      <c r="C258" t="str">
        <f ca="1">IFERROR(__xludf.DUMMYFUNCTION("""COMPUTED_VALUE"""),"УГЛЕПРОМТРАНС")</f>
        <v>УГЛЕПРОМТРАНС</v>
      </c>
      <c r="D258">
        <f ca="1">IFERROR(__xludf.DUMMYFUNCTION("""COMPUTED_VALUE"""),56565211)</f>
        <v>56565211</v>
      </c>
      <c r="E258" t="str">
        <f ca="1">IFERROR(__xludf.DUMMYFUNCTION("""COMPUTED_VALUE"""),"60 ПОЛУВАГОНЫ")</f>
        <v>60 ПОЛУВАГОНЫ</v>
      </c>
      <c r="F258">
        <f ca="1">IFERROR(__xludf.DUMMYFUNCTION("""COMPUTED_VALUE"""),42103)</f>
        <v>42103</v>
      </c>
      <c r="G258" t="str">
        <f ca="1">IFERROR(__xludf.DUMMYFUNCTION("""COMPUTED_VALUE"""),"ВАГОНЫ ЖД СВ")</f>
        <v>ВАГОНЫ ЖД СВ</v>
      </c>
      <c r="H258">
        <f ca="1">IFERROR(__xludf.DUMMYFUNCTION("""COMPUTED_VALUE"""),0)</f>
        <v>0</v>
      </c>
      <c r="I258">
        <f ca="1">IFERROR(__xludf.DUMMYFUNCTION("""COMPUTED_VALUE"""),4689)</f>
        <v>4689</v>
      </c>
      <c r="J258" t="str">
        <f ca="1">IFERROR(__xludf.DUMMYFUNCTION("""COMPUTED_VALUE"""),"2220 (49000-781-48200) ЛИМАН - ПОКРОВСК")</f>
        <v>2220 (49000-781-48200) ЛИМАН - ПОКРОВСК</v>
      </c>
      <c r="K258">
        <f ca="1">IFERROR(__xludf.DUMMYFUNCTION("""COMPUTED_VALUE"""),48200)</f>
        <v>48200</v>
      </c>
      <c r="L258" t="str">
        <f ca="1">IFERROR(__xludf.DUMMYFUNCTION("""COMPUTED_VALUE"""),"ПОКРОВСК")</f>
        <v>ПОКРОВСК</v>
      </c>
      <c r="M258" t="str">
        <f ca="1">IFERROR(__xludf.DUMMYFUNCTION("""COMPUTED_VALUE"""),"08.06.21 10-00")</f>
        <v>08.06.21 10-00</v>
      </c>
      <c r="N258" t="str">
        <f ca="1">IFERROR(__xludf.DUMMYFUNCTION("""COMPUTED_VALUE"""),"53 ВУ23")</f>
        <v>53 ВУ23</v>
      </c>
      <c r="O258">
        <f ca="1">IFERROR(__xludf.DUMMYFUNCTION("""COMPUTED_VALUE"""),48200)</f>
        <v>48200</v>
      </c>
      <c r="P258" t="str">
        <f ca="1">IFERROR(__xludf.DUMMYFUNCTION("""COMPUTED_VALUE"""),"ПОКРОВСК")</f>
        <v>ПОКРОВСК</v>
      </c>
      <c r="Q258">
        <f ca="1">IFERROR(__xludf.DUMMYFUNCTION("""COMPUTED_VALUE"""),44400)</f>
        <v>44400</v>
      </c>
      <c r="R258" t="str">
        <f ca="1">IFERROR(__xludf.DUMMYFUNCTION("""COMPUTED_VALUE"""),"ЛИМАН")</f>
        <v>ЛИМАН</v>
      </c>
      <c r="S258" t="str">
        <f ca="1">IFERROR(__xludf.DUMMYFUNCTION("""COMPUTED_VALUE"""),"26.02.21 06-29")</f>
        <v>26.02.21 06-29</v>
      </c>
      <c r="T258">
        <f ca="1">IFERROR(__xludf.DUMMYFUNCTION("""COMPUTED_VALUE"""),8200)</f>
        <v>8200</v>
      </c>
      <c r="U258" t="str">
        <f ca="1">IFERROR(__xludf.DUMMYFUNCTION("""COMPUTED_VALUE"""),"13.08.2021 КР")</f>
        <v>13.08.2021 КР</v>
      </c>
      <c r="Z258" t="str">
        <f ca="1">IFERROR(__xludf.DUMMYFUNCTION("""COMPUTED_VALUE"""),"ООО ""УГЛЕПРОМТРАНС""")</f>
        <v>ООО "УГЛЕПРОМТРАНС"</v>
      </c>
      <c r="AA258" t="str">
        <f ca="1">IFERROR(__xludf.DUMMYFUNCTION("""COMPUTED_VALUE"""),"12-757")</f>
        <v>12-757</v>
      </c>
      <c r="AB258" t="str">
        <f ca="1">IFERROR(__xludf.DUMMYFUNCTION("""COMPUTED_VALUE"""),"48 ДОН")</f>
        <v>48 ДОН</v>
      </c>
      <c r="AC258" t="str">
        <f ca="1">IFERROR(__xludf.DUMMYFUNCTION("""COMPUTED_VALUE"""),"48200 ПОКРОВСК")</f>
        <v>48200 ПОКРОВСК</v>
      </c>
      <c r="AD258" t="str">
        <f ca="1">IFERROR(__xludf.DUMMYFUNCTION("""COMPUTED_VALUE"""),"08.06.21 10-00")</f>
        <v>08.06.21 10-00</v>
      </c>
      <c r="AE258" t="str">
        <f ca="1">IFERROR(__xludf.DUMMYFUNCTION("""COMPUTED_VALUE"""),"579 ИCТEК CPOК CЛУЖБЫ")</f>
        <v>579 ИCТEК CPOК CЛУЖБЫ</v>
      </c>
      <c r="AF258" t="str">
        <f ca="1">IFERROR(__xludf.DUMMYFUNCTION("""COMPUTED_VALUE"""),"45 ПРИДН")</f>
        <v>45 ПРИДН</v>
      </c>
      <c r="AG258" t="str">
        <f ca="1">IFERROR(__xludf.DUMMYFUNCTION("""COMPUTED_VALUE"""),"47660 ДНЕПРОРУДНАЯ")</f>
        <v>47660 ДНЕПРОРУДНАЯ</v>
      </c>
      <c r="AH258" t="str">
        <f ca="1">IFERROR(__xludf.DUMMYFUNCTION("""COMPUTED_VALUE"""),"01.01.21 05-00")</f>
        <v>01.01.21 05-00</v>
      </c>
      <c r="AI258" s="21">
        <f ca="1">IFERROR(__xludf.DUMMYFUNCTION("""COMPUTED_VALUE"""),44420.357662037)</f>
        <v>44420.357662037</v>
      </c>
    </row>
    <row r="259" spans="1:35" ht="13" x14ac:dyDescent="0.15">
      <c r="A259">
        <f ca="1">IFERROR(__xludf.DUMMYFUNCTION("""COMPUTED_VALUE"""),1086)</f>
        <v>1086</v>
      </c>
      <c r="B259" t="str">
        <f ca="1">IFERROR(__xludf.DUMMYFUNCTION("""COMPUTED_VALUE"""),"Техрейс")</f>
        <v>Техрейс</v>
      </c>
      <c r="C259" t="str">
        <f ca="1">IFERROR(__xludf.DUMMYFUNCTION("""COMPUTED_VALUE"""),"УГЛЕПРОМТРАНС")</f>
        <v>УГЛЕПРОМТРАНС</v>
      </c>
      <c r="D259">
        <f ca="1">IFERROR(__xludf.DUMMYFUNCTION("""COMPUTED_VALUE"""),56565369)</f>
        <v>56565369</v>
      </c>
      <c r="E259" t="str">
        <f ca="1">IFERROR(__xludf.DUMMYFUNCTION("""COMPUTED_VALUE"""),"60 ПОЛУВАГОНЫ")</f>
        <v>60 ПОЛУВАГОНЫ</v>
      </c>
      <c r="F259">
        <f ca="1">IFERROR(__xludf.DUMMYFUNCTION("""COMPUTED_VALUE"""),42103)</f>
        <v>42103</v>
      </c>
      <c r="G259" t="str">
        <f ca="1">IFERROR(__xludf.DUMMYFUNCTION("""COMPUTED_VALUE"""),"ВАГОНЫ ЖД СВ")</f>
        <v>ВАГОНЫ ЖД СВ</v>
      </c>
      <c r="H259">
        <f ca="1">IFERROR(__xludf.DUMMYFUNCTION("""COMPUTED_VALUE"""),0)</f>
        <v>0</v>
      </c>
      <c r="I259">
        <f ca="1">IFERROR(__xludf.DUMMYFUNCTION("""COMPUTED_VALUE"""),4689)</f>
        <v>4689</v>
      </c>
      <c r="J259" t="str">
        <f ca="1">IFERROR(__xludf.DUMMYFUNCTION("""COMPUTED_VALUE"""),"5555 (48200-152-00180) ПОКРОВСК -")</f>
        <v>5555 (48200-152-00180) ПОКРОВСК -</v>
      </c>
      <c r="K259">
        <f ca="1">IFERROR(__xludf.DUMMYFUNCTION("""COMPUTED_VALUE"""),48200)</f>
        <v>48200</v>
      </c>
      <c r="L259" t="str">
        <f ca="1">IFERROR(__xludf.DUMMYFUNCTION("""COMPUTED_VALUE"""),"ПОКРОВСК")</f>
        <v>ПОКРОВСК</v>
      </c>
      <c r="M259" t="str">
        <f ca="1">IFERROR(__xludf.DUMMYFUNCTION("""COMPUTED_VALUE"""),"08.06.21 10-05")</f>
        <v>08.06.21 10-05</v>
      </c>
      <c r="N259" t="str">
        <f ca="1">IFERROR(__xludf.DUMMYFUNCTION("""COMPUTED_VALUE"""),"53 ВУ23")</f>
        <v>53 ВУ23</v>
      </c>
      <c r="O259">
        <f ca="1">IFERROR(__xludf.DUMMYFUNCTION("""COMPUTED_VALUE"""),48200)</f>
        <v>48200</v>
      </c>
      <c r="P259" t="str">
        <f ca="1">IFERROR(__xludf.DUMMYFUNCTION("""COMPUTED_VALUE"""),"ПОКРОВСК")</f>
        <v>ПОКРОВСК</v>
      </c>
      <c r="Q259">
        <f ca="1">IFERROR(__xludf.DUMMYFUNCTION("""COMPUTED_VALUE"""),46000)</f>
        <v>46000</v>
      </c>
      <c r="R259" t="str">
        <f ca="1">IFERROR(__xludf.DUMMYFUNCTION("""COMPUTED_VALUE"""),"ЗАПОРОЖ-ЛЕВ")</f>
        <v>ЗАПОРОЖ-ЛЕВ</v>
      </c>
      <c r="S259" t="str">
        <f ca="1">IFERROR(__xludf.DUMMYFUNCTION("""COMPUTED_VALUE"""),"17.03.21 02-41")</f>
        <v>17.03.21 02-41</v>
      </c>
      <c r="T259">
        <f ca="1">IFERROR(__xludf.DUMMYFUNCTION("""COMPUTED_VALUE"""),8200)</f>
        <v>8200</v>
      </c>
      <c r="U259" t="str">
        <f ca="1">IFERROR(__xludf.DUMMYFUNCTION("""COMPUTED_VALUE"""),"13.08.2021 КР")</f>
        <v>13.08.2021 КР</v>
      </c>
      <c r="Z259" t="str">
        <f ca="1">IFERROR(__xludf.DUMMYFUNCTION("""COMPUTED_VALUE"""),"ООО ""УГЛЕПРОМТРАНС""")</f>
        <v>ООО "УГЛЕПРОМТРАНС"</v>
      </c>
      <c r="AA259" t="str">
        <f ca="1">IFERROR(__xludf.DUMMYFUNCTION("""COMPUTED_VALUE"""),"12-757")</f>
        <v>12-757</v>
      </c>
      <c r="AB259" t="str">
        <f ca="1">IFERROR(__xludf.DUMMYFUNCTION("""COMPUTED_VALUE"""),"48 ДОН")</f>
        <v>48 ДОН</v>
      </c>
      <c r="AC259" t="str">
        <f ca="1">IFERROR(__xludf.DUMMYFUNCTION("""COMPUTED_VALUE"""),"48200 ПОКРОВСК")</f>
        <v>48200 ПОКРОВСК</v>
      </c>
      <c r="AD259" t="str">
        <f ca="1">IFERROR(__xludf.DUMMYFUNCTION("""COMPUTED_VALUE"""),"08.06.21 10-05")</f>
        <v>08.06.21 10-05</v>
      </c>
      <c r="AE259" t="str">
        <f ca="1">IFERROR(__xludf.DUMMYFUNCTION("""COMPUTED_VALUE"""),"579 ИCТEК CPOК CЛУЖБЫ")</f>
        <v>579 ИCТEК CPOК CЛУЖБЫ</v>
      </c>
      <c r="AF259" t="str">
        <f ca="1">IFERROR(__xludf.DUMMYFUNCTION("""COMPUTED_VALUE"""),"43 ЮЖН")</f>
        <v>43 ЮЖН</v>
      </c>
      <c r="AG259" t="str">
        <f ca="1">IFERROR(__xludf.DUMMYFUNCTION("""COMPUTED_VALUE"""),"42560 ЗОЛОТНИШИНО")</f>
        <v>42560 ЗОЛОТНИШИНО</v>
      </c>
      <c r="AH259" t="str">
        <f ca="1">IFERROR(__xludf.DUMMYFUNCTION("""COMPUTED_VALUE"""),"22.10.20 14-00")</f>
        <v>22.10.20 14-00</v>
      </c>
      <c r="AI259" s="21">
        <f ca="1">IFERROR(__xludf.DUMMYFUNCTION("""COMPUTED_VALUE"""),44420.357662037)</f>
        <v>44420.357662037</v>
      </c>
    </row>
    <row r="260" spans="1:35" ht="13" x14ac:dyDescent="0.15">
      <c r="A260">
        <f ca="1">IFERROR(__xludf.DUMMYFUNCTION("""COMPUTED_VALUE"""),1087)</f>
        <v>1087</v>
      </c>
      <c r="B260" t="str">
        <f ca="1">IFERROR(__xludf.DUMMYFUNCTION("""COMPUTED_VALUE"""),"Техрейс")</f>
        <v>Техрейс</v>
      </c>
      <c r="C260" t="str">
        <f ca="1">IFERROR(__xludf.DUMMYFUNCTION("""COMPUTED_VALUE"""),"УГЛЕПРОМТРАНС")</f>
        <v>УГЛЕПРОМТРАНС</v>
      </c>
      <c r="D260">
        <f ca="1">IFERROR(__xludf.DUMMYFUNCTION("""COMPUTED_VALUE"""),56511223)</f>
        <v>56511223</v>
      </c>
      <c r="E260" t="str">
        <f ca="1">IFERROR(__xludf.DUMMYFUNCTION("""COMPUTED_VALUE"""),"60 ПОЛУВАГОНЫ")</f>
        <v>60 ПОЛУВАГОНЫ</v>
      </c>
      <c r="F260">
        <f ca="1">IFERROR(__xludf.DUMMYFUNCTION("""COMPUTED_VALUE"""),14109)</f>
        <v>14109</v>
      </c>
      <c r="G260" t="str">
        <f ca="1">IFERROR(__xludf.DUMMYFUNCTION("""COMPUTED_VALUE"""),"ГЕМАТИТ")</f>
        <v>ГЕМАТИТ</v>
      </c>
      <c r="H260">
        <f ca="1">IFERROR(__xludf.DUMMYFUNCTION("""COMPUTED_VALUE"""),69)</f>
        <v>69</v>
      </c>
      <c r="I260">
        <f ca="1">IFERROR(__xludf.DUMMYFUNCTION("""COMPUTED_VALUE"""),5786)</f>
        <v>5786</v>
      </c>
      <c r="J260" t="str">
        <f ca="1">IFERROR(__xludf.DUMMYFUNCTION("""COMPUTED_VALUE"""),"1609 (46720-447-40050) КРИВОЙ РОГ - БЕРЕГОВАЯ")</f>
        <v>1609 (46720-447-40050) КРИВОЙ РОГ - БЕРЕГОВАЯ</v>
      </c>
      <c r="K260">
        <f ca="1">IFERROR(__xludf.DUMMYFUNCTION("""COMPUTED_VALUE"""),40050)</f>
        <v>40050</v>
      </c>
      <c r="L260" t="str">
        <f ca="1">IFERROR(__xludf.DUMMYFUNCTION("""COMPUTED_VALUE"""),"БЕРЕГОВАЯ")</f>
        <v>БЕРЕГОВАЯ</v>
      </c>
      <c r="M260" t="str">
        <f ca="1">IFERROR(__xludf.DUMMYFUNCTION("""COMPUTED_VALUE"""),"12.08.21 07-31")</f>
        <v>12.08.21 07-31</v>
      </c>
      <c r="N260" t="str">
        <f ca="1">IFERROR(__xludf.DUMMYFUNCTION("""COMPUTED_VALUE"""),"04 РАСФ")</f>
        <v>04 РАСФ</v>
      </c>
      <c r="O260">
        <f ca="1">IFERROR(__xludf.DUMMYFUNCTION("""COMPUTED_VALUE"""),40060)</f>
        <v>40060</v>
      </c>
      <c r="P260" t="str">
        <f ca="1">IFERROR(__xludf.DUMMYFUNCTION("""COMPUTED_VALUE"""),"БЕРЕГОВАЯ-Э")</f>
        <v>БЕРЕГОВАЯ-Э</v>
      </c>
      <c r="Q260">
        <f ca="1">IFERROR(__xludf.DUMMYFUNCTION("""COMPUTED_VALUE"""),46720)</f>
        <v>46720</v>
      </c>
      <c r="R260" t="str">
        <f ca="1">IFERROR(__xludf.DUMMYFUNCTION("""COMPUTED_VALUE"""),"КРИВОЙ РОГ")</f>
        <v>КРИВОЙ РОГ</v>
      </c>
      <c r="S260" t="str">
        <f ca="1">IFERROR(__xludf.DUMMYFUNCTION("""COMPUTED_VALUE"""),"11.08.21 03-10")</f>
        <v>11.08.21 03-10</v>
      </c>
      <c r="T260">
        <f ca="1">IFERROR(__xludf.DUMMYFUNCTION("""COMPUTED_VALUE"""),5343)</f>
        <v>5343</v>
      </c>
      <c r="U260" t="str">
        <f ca="1">IFERROR(__xludf.DUMMYFUNCTION("""COMPUTED_VALUE"""),"26.10.2021 ДР")</f>
        <v>26.10.2021 ДР</v>
      </c>
      <c r="Z260" t="str">
        <f ca="1">IFERROR(__xludf.DUMMYFUNCTION("""COMPUTED_VALUE"""),"ООО ""УГЛЕПРОМТРАНС""")</f>
        <v>ООО "УГЛЕПРОМТРАНС"</v>
      </c>
      <c r="AA260" t="str">
        <f ca="1">IFERROR(__xludf.DUMMYFUNCTION("""COMPUTED_VALUE"""),"12-757")</f>
        <v>12-757</v>
      </c>
      <c r="AB260" t="str">
        <f ca="1">IFERROR(__xludf.DUMMYFUNCTION("""COMPUTED_VALUE"""),"45 ПРИДН")</f>
        <v>45 ПРИДН</v>
      </c>
      <c r="AC260" t="str">
        <f ca="1">IFERROR(__xludf.DUMMYFUNCTION("""COMPUTED_VALUE"""),"46720 КРИВОЙ РОГ")</f>
        <v>46720 КРИВОЙ РОГ</v>
      </c>
      <c r="AD260" t="str">
        <f ca="1">IFERROR(__xludf.DUMMYFUNCTION("""COMPUTED_VALUE"""),"29.07.21 13-50")</f>
        <v>29.07.21 13-50</v>
      </c>
      <c r="AE26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60" t="str">
        <f ca="1">IFERROR(__xludf.DUMMYFUNCTION("""COMPUTED_VALUE"""),"45 ПРИДН")</f>
        <v>45 ПРИДН</v>
      </c>
      <c r="AG260" t="str">
        <f ca="1">IFERROR(__xludf.DUMMYFUNCTION("""COMPUTED_VALUE"""),"46720 КРИВОЙ РОГ")</f>
        <v>46720 КРИВОЙ РОГ</v>
      </c>
      <c r="AH260" t="str">
        <f ca="1">IFERROR(__xludf.DUMMYFUNCTION("""COMPUTED_VALUE"""),"30.07.21 18-00")</f>
        <v>30.07.21 18-00</v>
      </c>
      <c r="AI260" s="21">
        <f ca="1">IFERROR(__xludf.DUMMYFUNCTION("""COMPUTED_VALUE"""),44420.357662037)</f>
        <v>44420.357662037</v>
      </c>
    </row>
    <row r="261" spans="1:35" ht="13" x14ac:dyDescent="0.15">
      <c r="A261">
        <f ca="1">IFERROR(__xludf.DUMMYFUNCTION("""COMPUTED_VALUE"""),1094)</f>
        <v>1094</v>
      </c>
      <c r="B261" t="str">
        <f ca="1">IFERROR(__xludf.DUMMYFUNCTION("""COMPUTED_VALUE"""),"Лидер")</f>
        <v>Лидер</v>
      </c>
      <c r="C261" t="str">
        <f ca="1">IFERROR(__xludf.DUMMYFUNCTION("""COMPUTED_VALUE"""),"УТЛ")</f>
        <v>УТЛ</v>
      </c>
      <c r="D261">
        <f ca="1">IFERROR(__xludf.DUMMYFUNCTION("""COMPUTED_VALUE"""),61107181)</f>
        <v>61107181</v>
      </c>
      <c r="E261" t="str">
        <f ca="1">IFERROR(__xludf.DUMMYFUNCTION("""COMPUTED_VALUE"""),"60 ПОЛУВАГОНЫ")</f>
        <v>60 ПОЛУВАГОНЫ</v>
      </c>
      <c r="F261">
        <f ca="1">IFERROR(__xludf.DUMMYFUNCTION("""COMPUTED_VALUE"""),42103)</f>
        <v>42103</v>
      </c>
      <c r="G261" t="str">
        <f ca="1">IFERROR(__xludf.DUMMYFUNCTION("""COMPUTED_VALUE"""),"ВАГОНЫ ЖД СВ")</f>
        <v>ВАГОНЫ ЖД СВ</v>
      </c>
      <c r="H261">
        <f ca="1">IFERROR(__xludf.DUMMYFUNCTION("""COMPUTED_VALUE"""),0)</f>
        <v>0</v>
      </c>
      <c r="I261">
        <f ca="1">IFERROR(__xludf.DUMMYFUNCTION("""COMPUTED_VALUE"""),3437)</f>
        <v>3437</v>
      </c>
      <c r="J261" t="str">
        <f ca="1">IFERROR(__xludf.DUMMYFUNCTION("""COMPUTED_VALUE"""),"2717 (43000-097-32000) КУПЯНСК-СОРТ - ДАРНИЦА")</f>
        <v>2717 (43000-097-32000) КУПЯНСК-СОРТ - ДАРНИЦА</v>
      </c>
      <c r="K261">
        <f ca="1">IFERROR(__xludf.DUMMYFUNCTION("""COMPUTED_VALUE"""),32000)</f>
        <v>32000</v>
      </c>
      <c r="L261" t="str">
        <f ca="1">IFERROR(__xludf.DUMMYFUNCTION("""COMPUTED_VALUE"""),"ДАРНИЦА")</f>
        <v>ДАРНИЦА</v>
      </c>
      <c r="M261" t="str">
        <f ca="1">IFERROR(__xludf.DUMMYFUNCTION("""COMPUTED_VALUE"""),"11.08.21 19-22")</f>
        <v>11.08.21 19-22</v>
      </c>
      <c r="N261" t="str">
        <f ca="1">IFERROR(__xludf.DUMMYFUNCTION("""COMPUTED_VALUE"""),"51 ПРИБ")</f>
        <v>51 ПРИБ</v>
      </c>
      <c r="O261">
        <f ca="1">IFERROR(__xludf.DUMMYFUNCTION("""COMPUTED_VALUE"""),34750)</f>
        <v>34750</v>
      </c>
      <c r="P261" t="str">
        <f ca="1">IFERROR(__xludf.DUMMYFUNCTION("""COMPUTED_VALUE"""),"ПЕНИЗЕВИЧИ")</f>
        <v>ПЕНИЗЕВИЧИ</v>
      </c>
      <c r="Q261">
        <f ca="1">IFERROR(__xludf.DUMMYFUNCTION("""COMPUTED_VALUE"""),49870)</f>
        <v>49870</v>
      </c>
      <c r="R261" t="str">
        <f ca="1">IFERROR(__xludf.DUMMYFUNCTION("""COMPUTED_VALUE"""),"РУБЕЖНОЕ")</f>
        <v>РУБЕЖНОЕ</v>
      </c>
      <c r="S261" t="str">
        <f ca="1">IFERROR(__xludf.DUMMYFUNCTION("""COMPUTED_VALUE"""),"08.08.21 02-30")</f>
        <v>08.08.21 02-30</v>
      </c>
      <c r="T261">
        <f ca="1">IFERROR(__xludf.DUMMYFUNCTION("""COMPUTED_VALUE"""),2992)</f>
        <v>2992</v>
      </c>
      <c r="U261" t="str">
        <f ca="1">IFERROR(__xludf.DUMMYFUNCTION("""COMPUTED_VALUE"""),"12.02.2022 ДР")</f>
        <v>12.02.2022 ДР</v>
      </c>
      <c r="Z261" t="str">
        <f ca="1">IFERROR(__xludf.DUMMYFUNCTION("""COMPUTED_VALUE"""),"ООО «ОТП ЛИЗИНГ»")</f>
        <v>ООО «ОТП ЛИЗИНГ»</v>
      </c>
      <c r="AA261" t="str">
        <f ca="1">IFERROR(__xludf.DUMMYFUNCTION("""COMPUTED_VALUE"""),"12-9745")</f>
        <v>12-9745</v>
      </c>
      <c r="AB261" t="str">
        <f ca="1">IFERROR(__xludf.DUMMYFUNCTION("""COMPUTED_VALUE"""),"45 ПРИДН")</f>
        <v>45 ПРИДН</v>
      </c>
      <c r="AC261" t="str">
        <f ca="1">IFERROR(__xludf.DUMMYFUNCTION("""COMPUTED_VALUE"""),"46710 КРИВ.РОГ-СОР")</f>
        <v>46710 КРИВ.РОГ-СОР</v>
      </c>
      <c r="AD261" t="str">
        <f ca="1">IFERROR(__xludf.DUMMYFUNCTION("""COMPUTED_VALUE"""),"08.02.21 08-41")</f>
        <v>08.02.21 08-41</v>
      </c>
      <c r="AE261" t="str">
        <f ca="1">IFERROR(__xludf.DUMMYFUNCTION("""COMPUTED_VALUE"""),"570 ИCТEК КAЛЕНДАРНЫЙ CPOК ДEПOВCКОГО PEМOНТA")</f>
        <v>570 ИCТEК КAЛЕНДАРНЫЙ CPOК ДEПOВCКОГО PEМOНТA</v>
      </c>
      <c r="AF261" t="str">
        <f ca="1">IFERROR(__xludf.DUMMYFUNCTION("""COMPUTED_VALUE"""),"45 ПРИДН")</f>
        <v>45 ПРИДН</v>
      </c>
      <c r="AG261" t="str">
        <f ca="1">IFERROR(__xludf.DUMMYFUNCTION("""COMPUTED_VALUE"""),"46710 КРИВ.РОГ-СОР")</f>
        <v>46710 КРИВ.РОГ-СОР</v>
      </c>
      <c r="AH261" t="str">
        <f ca="1">IFERROR(__xludf.DUMMYFUNCTION("""COMPUTED_VALUE"""),"12.02.21 11-27")</f>
        <v>12.02.21 11-27</v>
      </c>
      <c r="AI261" s="21">
        <f ca="1">IFERROR(__xludf.DUMMYFUNCTION("""COMPUTED_VALUE"""),44420.357662037)</f>
        <v>44420.357662037</v>
      </c>
    </row>
    <row r="262" spans="1:35" ht="13" x14ac:dyDescent="0.15">
      <c r="A262">
        <f ca="1">IFERROR(__xludf.DUMMYFUNCTION("""COMPUTED_VALUE"""),1095)</f>
        <v>1095</v>
      </c>
      <c r="B262" t="str">
        <f ca="1">IFERROR(__xludf.DUMMYFUNCTION("""COMPUTED_VALUE"""),"Техрейс")</f>
        <v>Техрейс</v>
      </c>
      <c r="C262" t="str">
        <f ca="1">IFERROR(__xludf.DUMMYFUNCTION("""COMPUTED_VALUE"""),"УТЛ")</f>
        <v>УТЛ</v>
      </c>
      <c r="D262">
        <f ca="1">IFERROR(__xludf.DUMMYFUNCTION("""COMPUTED_VALUE"""),61103719)</f>
        <v>61103719</v>
      </c>
      <c r="E262" t="str">
        <f ca="1">IFERROR(__xludf.DUMMYFUNCTION("""COMPUTED_VALUE"""),"60 ПОЛУВАГОНЫ")</f>
        <v>60 ПОЛУВАГОНЫ</v>
      </c>
      <c r="F262">
        <f ca="1">IFERROR(__xludf.DUMMYFUNCTION("""COMPUTED_VALUE"""),14109)</f>
        <v>14109</v>
      </c>
      <c r="G262" t="str">
        <f ca="1">IFERROR(__xludf.DUMMYFUNCTION("""COMPUTED_VALUE"""),"ГЕМАТИТ")</f>
        <v>ГЕМАТИТ</v>
      </c>
      <c r="H262">
        <f ca="1">IFERROR(__xludf.DUMMYFUNCTION("""COMPUTED_VALUE"""),70)</f>
        <v>70</v>
      </c>
      <c r="I262">
        <f ca="1">IFERROR(__xludf.DUMMYFUNCTION("""COMPUTED_VALUE"""),5786)</f>
        <v>5786</v>
      </c>
      <c r="J262" t="str">
        <f ca="1">IFERROR(__xludf.DUMMYFUNCTION("""COMPUTED_VALUE"""),"2760 (40050-083-46720) БЕРЕГОВАЯ - КРИВОЙ РОГ")</f>
        <v>2760 (40050-083-46720) БЕРЕГОВАЯ - КРИВОЙ РОГ</v>
      </c>
      <c r="K262">
        <f ca="1">IFERROR(__xludf.DUMMYFUNCTION("""COMPUTED_VALUE"""),40050)</f>
        <v>40050</v>
      </c>
      <c r="L262" t="str">
        <f ca="1">IFERROR(__xludf.DUMMYFUNCTION("""COMPUTED_VALUE"""),"БЕРЕГОВАЯ")</f>
        <v>БЕРЕГОВАЯ</v>
      </c>
      <c r="M262" t="str">
        <f ca="1">IFERROR(__xludf.DUMMYFUNCTION("""COMPUTED_VALUE"""),"12.08.21 01-10")</f>
        <v>12.08.21 01-10</v>
      </c>
      <c r="N262" t="str">
        <f ca="1">IFERROR(__xludf.DUMMYFUNCTION("""COMPUTED_VALUE"""),"21 ВЫГ2")</f>
        <v>21 ВЫГ2</v>
      </c>
      <c r="O262">
        <f ca="1">IFERROR(__xludf.DUMMYFUNCTION("""COMPUTED_VALUE"""),40060)</f>
        <v>40060</v>
      </c>
      <c r="P262" t="str">
        <f ca="1">IFERROR(__xludf.DUMMYFUNCTION("""COMPUTED_VALUE"""),"БЕРЕГОВАЯ-Э")</f>
        <v>БЕРЕГОВАЯ-Э</v>
      </c>
      <c r="Q262">
        <f ca="1">IFERROR(__xludf.DUMMYFUNCTION("""COMPUTED_VALUE"""),46720)</f>
        <v>46720</v>
      </c>
      <c r="R262" t="str">
        <f ca="1">IFERROR(__xludf.DUMMYFUNCTION("""COMPUTED_VALUE"""),"КРИВОЙ РОГ")</f>
        <v>КРИВОЙ РОГ</v>
      </c>
      <c r="S262" t="str">
        <f ca="1">IFERROR(__xludf.DUMMYFUNCTION("""COMPUTED_VALUE"""),"10.08.21 05-30")</f>
        <v>10.08.21 05-30</v>
      </c>
      <c r="U262" t="str">
        <f ca="1">IFERROR(__xludf.DUMMYFUNCTION("""COMPUTED_VALUE"""),"13.02.2022 ДР")</f>
        <v>13.02.2022 ДР</v>
      </c>
      <c r="Z262" t="str">
        <f ca="1">IFERROR(__xludf.DUMMYFUNCTION("""COMPUTED_VALUE"""),"ООО «ОТП ЛИЗИНГ»")</f>
        <v>ООО «ОТП ЛИЗИНГ»</v>
      </c>
      <c r="AA262" t="str">
        <f ca="1">IFERROR(__xludf.DUMMYFUNCTION("""COMPUTED_VALUE"""),"12-9745")</f>
        <v>12-9745</v>
      </c>
      <c r="AB262" t="str">
        <f ca="1">IFERROR(__xludf.DUMMYFUNCTION("""COMPUTED_VALUE"""),"45 ПРИДН")</f>
        <v>45 ПРИДН</v>
      </c>
      <c r="AC262" t="str">
        <f ca="1">IFERROR(__xludf.DUMMYFUNCTION("""COMPUTED_VALUE"""),"47600 МЕЛИТОПОЛЬ")</f>
        <v>47600 МЕЛИТОПОЛЬ</v>
      </c>
      <c r="AD262" t="str">
        <f ca="1">IFERROR(__xludf.DUMMYFUNCTION("""COMPUTED_VALUE"""),"09.02.21 07-59")</f>
        <v>09.02.21 07-59</v>
      </c>
      <c r="AE262" t="str">
        <f ca="1">IFERROR(__xludf.DUMMYFUNCTION("""COMPUTED_VALUE"""),"570 ИCТEК КAЛЕНДАРНЫЙ CPOК ДEПOВCКОГО PEМOНТA")</f>
        <v>570 ИCТEК КAЛЕНДАРНЫЙ CPOК ДEПOВCКОГО PEМOНТA</v>
      </c>
      <c r="AF262" t="str">
        <f ca="1">IFERROR(__xludf.DUMMYFUNCTION("""COMPUTED_VALUE"""),"45 ПРИДН")</f>
        <v>45 ПРИДН</v>
      </c>
      <c r="AG262" t="str">
        <f ca="1">IFERROR(__xludf.DUMMYFUNCTION("""COMPUTED_VALUE"""),"47600 МЕЛИТОПОЛЬ")</f>
        <v>47600 МЕЛИТОПОЛЬ</v>
      </c>
      <c r="AH262" t="str">
        <f ca="1">IFERROR(__xludf.DUMMYFUNCTION("""COMPUTED_VALUE"""),"13.02.21 13-40")</f>
        <v>13.02.21 13-40</v>
      </c>
      <c r="AI262" s="21">
        <f ca="1">IFERROR(__xludf.DUMMYFUNCTION("""COMPUTED_VALUE"""),44420.357662037)</f>
        <v>44420.357662037</v>
      </c>
    </row>
    <row r="263" spans="1:35" ht="13" x14ac:dyDescent="0.15">
      <c r="A263">
        <f ca="1">IFERROR(__xludf.DUMMYFUNCTION("""COMPUTED_VALUE"""),1096)</f>
        <v>1096</v>
      </c>
      <c r="B263" t="str">
        <f ca="1">IFERROR(__xludf.DUMMYFUNCTION("""COMPUTED_VALUE"""),"Ламан-Шипинг скраренда")</f>
        <v>Ламан-Шипинг скраренда</v>
      </c>
      <c r="C263" t="str">
        <f ca="1">IFERROR(__xludf.DUMMYFUNCTION("""COMPUTED_VALUE"""),"УТЛ")</f>
        <v>УТЛ</v>
      </c>
      <c r="D263">
        <f ca="1">IFERROR(__xludf.DUMMYFUNCTION("""COMPUTED_VALUE"""),61103750)</f>
        <v>61103750</v>
      </c>
      <c r="E263" t="str">
        <f ca="1">IFERROR(__xludf.DUMMYFUNCTION("""COMPUTED_VALUE"""),"60 ПОЛУВАГОНЫ")</f>
        <v>60 ПОЛУВАГОНЫ</v>
      </c>
      <c r="F263">
        <f ca="1">IFERROR(__xludf.DUMMYFUNCTION("""COMPUTED_VALUE"""),42103)</f>
        <v>42103</v>
      </c>
      <c r="G263" t="str">
        <f ca="1">IFERROR(__xludf.DUMMYFUNCTION("""COMPUTED_VALUE"""),"ВАГОНЫ ЖД СВ")</f>
        <v>ВАГОНЫ ЖД СВ</v>
      </c>
      <c r="H263">
        <f ca="1">IFERROR(__xludf.DUMMYFUNCTION("""COMPUTED_VALUE"""),0)</f>
        <v>0</v>
      </c>
      <c r="I263">
        <f ca="1">IFERROR(__xludf.DUMMYFUNCTION("""COMPUTED_VALUE"""),4279)</f>
        <v>4279</v>
      </c>
      <c r="J263" t="str">
        <f ca="1">IFERROR(__xludf.DUMMYFUNCTION("""COMPUTED_VALUE"""),"3602 (32010-565-32000) КИЕВ-ДЕМЕЕВС - ДАРНИЦА")</f>
        <v>3602 (32010-565-32000) КИЕВ-ДЕМЕЕВС - ДАРНИЦА</v>
      </c>
      <c r="K263">
        <f ca="1">IFERROR(__xludf.DUMMYFUNCTION("""COMPUTED_VALUE"""),32010)</f>
        <v>32010</v>
      </c>
      <c r="L263" t="str">
        <f ca="1">IFERROR(__xludf.DUMMYFUNCTION("""COMPUTED_VALUE"""),"КИЕВ-ДЕМЕЕВС")</f>
        <v>КИЕВ-ДЕМЕЕВС</v>
      </c>
      <c r="M263" t="str">
        <f ca="1">IFERROR(__xludf.DUMMYFUNCTION("""COMPUTED_VALUE"""),"11.08.21 18-20")</f>
        <v>11.08.21 18-20</v>
      </c>
      <c r="N263" t="str">
        <f ca="1">IFERROR(__xludf.DUMMYFUNCTION("""COMPUTED_VALUE"""),"05 ФОРМ")</f>
        <v>05 ФОРМ</v>
      </c>
      <c r="O263">
        <f ca="1">IFERROR(__xludf.DUMMYFUNCTION("""COMPUTED_VALUE"""),34170)</f>
        <v>34170</v>
      </c>
      <c r="P263" t="str">
        <f ca="1">IFERROR(__xludf.DUMMYFUNCTION("""COMPUTED_VALUE"""),"ПОЛОННОЕ")</f>
        <v>ПОЛОННОЕ</v>
      </c>
      <c r="Q263">
        <f ca="1">IFERROR(__xludf.DUMMYFUNCTION("""COMPUTED_VALUE"""),32010)</f>
        <v>32010</v>
      </c>
      <c r="R263" t="str">
        <f ca="1">IFERROR(__xludf.DUMMYFUNCTION("""COMPUTED_VALUE"""),"КИЕВ-ДЕМЕЕВС")</f>
        <v>КИЕВ-ДЕМЕЕВС</v>
      </c>
      <c r="S263" t="str">
        <f ca="1">IFERROR(__xludf.DUMMYFUNCTION("""COMPUTED_VALUE"""),"09.08.21 10-00")</f>
        <v>09.08.21 10-00</v>
      </c>
      <c r="T263">
        <f ca="1">IFERROR(__xludf.DUMMYFUNCTION("""COMPUTED_VALUE"""),5625)</f>
        <v>5625</v>
      </c>
      <c r="U263" t="str">
        <f ca="1">IFERROR(__xludf.DUMMYFUNCTION("""COMPUTED_VALUE"""),"13.02.2022 ДР")</f>
        <v>13.02.2022 ДР</v>
      </c>
      <c r="Z263" t="str">
        <f ca="1">IFERROR(__xludf.DUMMYFUNCTION("""COMPUTED_VALUE"""),"ООО «ОТП ЛИЗИНГ»")</f>
        <v>ООО «ОТП ЛИЗИНГ»</v>
      </c>
      <c r="AA263" t="str">
        <f ca="1">IFERROR(__xludf.DUMMYFUNCTION("""COMPUTED_VALUE"""),"12-9745")</f>
        <v>12-9745</v>
      </c>
      <c r="AB263" t="str">
        <f ca="1">IFERROR(__xludf.DUMMYFUNCTION("""COMPUTED_VALUE"""),"45 ПРИДН")</f>
        <v>45 ПРИДН</v>
      </c>
      <c r="AC263" t="str">
        <f ca="1">IFERROR(__xludf.DUMMYFUNCTION("""COMPUTED_VALUE"""),"47600 МЕЛИТОПОЛЬ")</f>
        <v>47600 МЕЛИТОПОЛЬ</v>
      </c>
      <c r="AD263" t="str">
        <f ca="1">IFERROR(__xludf.DUMMYFUNCTION("""COMPUTED_VALUE"""),"09.02.21 07-59")</f>
        <v>09.02.21 07-59</v>
      </c>
      <c r="AE263" t="str">
        <f ca="1">IFERROR(__xludf.DUMMYFUNCTION("""COMPUTED_VALUE"""),"570 ИCТEК КAЛЕНДАРНЫЙ CPOК ДEПOВCКОГО PEМOНТA")</f>
        <v>570 ИCТEК КAЛЕНДАРНЫЙ CPOК ДEПOВCКОГО PEМOНТA</v>
      </c>
      <c r="AF263" t="str">
        <f ca="1">IFERROR(__xludf.DUMMYFUNCTION("""COMPUTED_VALUE"""),"45 ПРИДН")</f>
        <v>45 ПРИДН</v>
      </c>
      <c r="AG263" t="str">
        <f ca="1">IFERROR(__xludf.DUMMYFUNCTION("""COMPUTED_VALUE"""),"47600 МЕЛИТОПОЛЬ")</f>
        <v>47600 МЕЛИТОПОЛЬ</v>
      </c>
      <c r="AH263" t="str">
        <f ca="1">IFERROR(__xludf.DUMMYFUNCTION("""COMPUTED_VALUE"""),"13.02.21 13-40")</f>
        <v>13.02.21 13-40</v>
      </c>
      <c r="AI263" s="21">
        <f ca="1">IFERROR(__xludf.DUMMYFUNCTION("""COMPUTED_VALUE"""),44420.357662037)</f>
        <v>44420.357662037</v>
      </c>
    </row>
    <row r="264" spans="1:35" ht="13" x14ac:dyDescent="0.15">
      <c r="A264">
        <f ca="1">IFERROR(__xludf.DUMMYFUNCTION("""COMPUTED_VALUE"""),1097)</f>
        <v>1097</v>
      </c>
      <c r="B264" t="str">
        <f ca="1">IFERROR(__xludf.DUMMYFUNCTION("""COMPUTED_VALUE"""),"Техрейс")</f>
        <v>Техрейс</v>
      </c>
      <c r="C264" t="str">
        <f ca="1">IFERROR(__xludf.DUMMYFUNCTION("""COMPUTED_VALUE"""),"УТЛ")</f>
        <v>УТЛ</v>
      </c>
      <c r="D264">
        <f ca="1">IFERROR(__xludf.DUMMYFUNCTION("""COMPUTED_VALUE"""),62679105)</f>
        <v>62679105</v>
      </c>
      <c r="E264" t="str">
        <f ca="1">IFERROR(__xludf.DUMMYFUNCTION("""COMPUTED_VALUE"""),"60 ПОЛУВАГОНЫ")</f>
        <v>60 ПОЛУВАГОНЫ</v>
      </c>
      <c r="F264">
        <f ca="1">IFERROR(__xludf.DUMMYFUNCTION("""COMPUTED_VALUE"""),14109)</f>
        <v>14109</v>
      </c>
      <c r="G264" t="str">
        <f ca="1">IFERROR(__xludf.DUMMYFUNCTION("""COMPUTED_VALUE"""),"ГЕМАТИТ")</f>
        <v>ГЕМАТИТ</v>
      </c>
      <c r="H264">
        <f ca="1">IFERROR(__xludf.DUMMYFUNCTION("""COMPUTED_VALUE"""),70)</f>
        <v>70</v>
      </c>
      <c r="I264">
        <f ca="1">IFERROR(__xludf.DUMMYFUNCTION("""COMPUTED_VALUE"""),5786)</f>
        <v>5786</v>
      </c>
      <c r="J264" t="str">
        <f ca="1">IFERROR(__xludf.DUMMYFUNCTION("""COMPUTED_VALUE"""),"2760 (40050-083-46720) БЕРЕГОВАЯ - КРИВОЙ РОГ")</f>
        <v>2760 (40050-083-46720) БЕРЕГОВАЯ - КРИВОЙ РОГ</v>
      </c>
      <c r="K264">
        <f ca="1">IFERROR(__xludf.DUMMYFUNCTION("""COMPUTED_VALUE"""),40050)</f>
        <v>40050</v>
      </c>
      <c r="L264" t="str">
        <f ca="1">IFERROR(__xludf.DUMMYFUNCTION("""COMPUTED_VALUE"""),"БЕРЕГОВАЯ")</f>
        <v>БЕРЕГОВАЯ</v>
      </c>
      <c r="M264" t="str">
        <f ca="1">IFERROR(__xludf.DUMMYFUNCTION("""COMPUTED_VALUE"""),"12.08.21 01-10")</f>
        <v>12.08.21 01-10</v>
      </c>
      <c r="N264" t="str">
        <f ca="1">IFERROR(__xludf.DUMMYFUNCTION("""COMPUTED_VALUE"""),"21 ВЫГ2")</f>
        <v>21 ВЫГ2</v>
      </c>
      <c r="O264">
        <f ca="1">IFERROR(__xludf.DUMMYFUNCTION("""COMPUTED_VALUE"""),40060)</f>
        <v>40060</v>
      </c>
      <c r="P264" t="str">
        <f ca="1">IFERROR(__xludf.DUMMYFUNCTION("""COMPUTED_VALUE"""),"БЕРЕГОВАЯ-Э")</f>
        <v>БЕРЕГОВАЯ-Э</v>
      </c>
      <c r="Q264">
        <f ca="1">IFERROR(__xludf.DUMMYFUNCTION("""COMPUTED_VALUE"""),46720)</f>
        <v>46720</v>
      </c>
      <c r="R264" t="str">
        <f ca="1">IFERROR(__xludf.DUMMYFUNCTION("""COMPUTED_VALUE"""),"КРИВОЙ РОГ")</f>
        <v>КРИВОЙ РОГ</v>
      </c>
      <c r="S264" t="str">
        <f ca="1">IFERROR(__xludf.DUMMYFUNCTION("""COMPUTED_VALUE"""),"10.08.21 05-30")</f>
        <v>10.08.21 05-30</v>
      </c>
      <c r="U264" t="str">
        <f ca="1">IFERROR(__xludf.DUMMYFUNCTION("""COMPUTED_VALUE"""),"26.02.2024 ДР")</f>
        <v>26.02.2024 ДР</v>
      </c>
      <c r="Z264" t="str">
        <f ca="1">IFERROR(__xludf.DUMMYFUNCTION("""COMPUTED_VALUE"""),"ООО «ОТП ЛИЗИНГ»")</f>
        <v>ООО «ОТП ЛИЗИНГ»</v>
      </c>
      <c r="AA264" t="str">
        <f ca="1">IFERROR(__xludf.DUMMYFUNCTION("""COMPUTED_VALUE"""),"12-4106")</f>
        <v>12-4106</v>
      </c>
      <c r="AB264" t="str">
        <f ca="1">IFERROR(__xludf.DUMMYFUNCTION("""COMPUTED_VALUE"""),"45 ПРИДН")</f>
        <v>45 ПРИДН</v>
      </c>
      <c r="AC264" t="str">
        <f ca="1">IFERROR(__xludf.DUMMYFUNCTION("""COMPUTED_VALUE"""),"46710 КРИВ.РОГ-СОР")</f>
        <v>46710 КРИВ.РОГ-СОР</v>
      </c>
      <c r="AD264" t="str">
        <f ca="1">IFERROR(__xludf.DUMMYFUNCTION("""COMPUTED_VALUE"""),"15.02.21 09-58")</f>
        <v>15.02.21 09-58</v>
      </c>
      <c r="AE264" t="str">
        <f ca="1">IFERROR(__xludf.DUMMYFUNCTION("""COMPUTED_VALUE"""),"570 ИCТEК КAЛЕНДАРНЫЙ CPOК ДEПOВCКОГО PEМOНТA")</f>
        <v>570 ИCТEК КAЛЕНДАРНЫЙ CPOК ДEПOВCКОГО PEМOНТA</v>
      </c>
      <c r="AF264" t="str">
        <f ca="1">IFERROR(__xludf.DUMMYFUNCTION("""COMPUTED_VALUE"""),"45 ПРИДН")</f>
        <v>45 ПРИДН</v>
      </c>
      <c r="AG264" t="str">
        <f ca="1">IFERROR(__xludf.DUMMYFUNCTION("""COMPUTED_VALUE"""),"46710 КРИВ.РОГ-СОР")</f>
        <v>46710 КРИВ.РОГ-СОР</v>
      </c>
      <c r="AH264" t="str">
        <f ca="1">IFERROR(__xludf.DUMMYFUNCTION("""COMPUTED_VALUE"""),"26.02.21 12-25")</f>
        <v>26.02.21 12-25</v>
      </c>
      <c r="AI264" s="21">
        <f ca="1">IFERROR(__xludf.DUMMYFUNCTION("""COMPUTED_VALUE"""),44420.357662037)</f>
        <v>44420.357662037</v>
      </c>
    </row>
    <row r="265" spans="1:35" ht="13" x14ac:dyDescent="0.15">
      <c r="A265">
        <f ca="1">IFERROR(__xludf.DUMMYFUNCTION("""COMPUTED_VALUE"""),1098)</f>
        <v>1098</v>
      </c>
      <c r="B265" t="str">
        <f ca="1">IFERROR(__xludf.DUMMYFUNCTION("""COMPUTED_VALUE"""),"Техрейс")</f>
        <v>Техрейс</v>
      </c>
      <c r="C265" t="str">
        <f ca="1">IFERROR(__xludf.DUMMYFUNCTION("""COMPUTED_VALUE"""),"УТЛ")</f>
        <v>УТЛ</v>
      </c>
      <c r="D265">
        <f ca="1">IFERROR(__xludf.DUMMYFUNCTION("""COMPUTED_VALUE"""),62679576)</f>
        <v>62679576</v>
      </c>
      <c r="E265" t="str">
        <f ca="1">IFERROR(__xludf.DUMMYFUNCTION("""COMPUTED_VALUE"""),"60 ПОЛУВАГОНЫ")</f>
        <v>60 ПОЛУВАГОНЫ</v>
      </c>
      <c r="F265">
        <f ca="1">IFERROR(__xludf.DUMMYFUNCTION("""COMPUTED_VALUE"""),14109)</f>
        <v>14109</v>
      </c>
      <c r="G265" t="str">
        <f ca="1">IFERROR(__xludf.DUMMYFUNCTION("""COMPUTED_VALUE"""),"ГЕМАТИТ")</f>
        <v>ГЕМАТИТ</v>
      </c>
      <c r="H265">
        <f ca="1">IFERROR(__xludf.DUMMYFUNCTION("""COMPUTED_VALUE"""),70)</f>
        <v>70</v>
      </c>
      <c r="I265">
        <f ca="1">IFERROR(__xludf.DUMMYFUNCTION("""COMPUTED_VALUE"""),5786)</f>
        <v>5786</v>
      </c>
      <c r="J265" t="str">
        <f ca="1">IFERROR(__xludf.DUMMYFUNCTION("""COMPUTED_VALUE"""),"1607 (46720-443-40050) КРИВОЙ РОГ - БЕРЕГОВАЯ")</f>
        <v>1607 (46720-443-40050) КРИВОЙ РОГ - БЕРЕГОВАЯ</v>
      </c>
      <c r="K265">
        <f ca="1">IFERROR(__xludf.DUMMYFUNCTION("""COMPUTED_VALUE"""),40050)</f>
        <v>40050</v>
      </c>
      <c r="L265" t="str">
        <f ca="1">IFERROR(__xludf.DUMMYFUNCTION("""COMPUTED_VALUE"""),"БЕРЕГОВАЯ")</f>
        <v>БЕРЕГОВАЯ</v>
      </c>
      <c r="M265" t="str">
        <f ca="1">IFERROR(__xludf.DUMMYFUNCTION("""COMPUTED_VALUE"""),"12.08.21 08-18")</f>
        <v>12.08.21 08-18</v>
      </c>
      <c r="N265" t="str">
        <f ca="1">IFERROR(__xludf.DUMMYFUNCTION("""COMPUTED_VALUE"""),"04 РАСФ")</f>
        <v>04 РАСФ</v>
      </c>
      <c r="O265">
        <f ca="1">IFERROR(__xludf.DUMMYFUNCTION("""COMPUTED_VALUE"""),40060)</f>
        <v>40060</v>
      </c>
      <c r="P265" t="str">
        <f ca="1">IFERROR(__xludf.DUMMYFUNCTION("""COMPUTED_VALUE"""),"БЕРЕГОВАЯ-Э")</f>
        <v>БЕРЕГОВАЯ-Э</v>
      </c>
      <c r="Q265">
        <f ca="1">IFERROR(__xludf.DUMMYFUNCTION("""COMPUTED_VALUE"""),46720)</f>
        <v>46720</v>
      </c>
      <c r="R265" t="str">
        <f ca="1">IFERROR(__xludf.DUMMYFUNCTION("""COMPUTED_VALUE"""),"КРИВОЙ РОГ")</f>
        <v>КРИВОЙ РОГ</v>
      </c>
      <c r="S265" t="str">
        <f ca="1">IFERROR(__xludf.DUMMYFUNCTION("""COMPUTED_VALUE"""),"10.08.21 19-40")</f>
        <v>10.08.21 19-40</v>
      </c>
      <c r="T265">
        <f ca="1">IFERROR(__xludf.DUMMYFUNCTION("""COMPUTED_VALUE"""),5343)</f>
        <v>5343</v>
      </c>
      <c r="U265" t="str">
        <f ca="1">IFERROR(__xludf.DUMMYFUNCTION("""COMPUTED_VALUE"""),"26.02.2024 ДР")</f>
        <v>26.02.2024 ДР</v>
      </c>
      <c r="Z265" t="str">
        <f ca="1">IFERROR(__xludf.DUMMYFUNCTION("""COMPUTED_VALUE"""),"ООО «ОТП ЛИЗИНГ»")</f>
        <v>ООО «ОТП ЛИЗИНГ»</v>
      </c>
      <c r="AA265" t="str">
        <f ca="1">IFERROR(__xludf.DUMMYFUNCTION("""COMPUTED_VALUE"""),"12-4106")</f>
        <v>12-4106</v>
      </c>
      <c r="AB265" t="str">
        <f ca="1">IFERROR(__xludf.DUMMYFUNCTION("""COMPUTED_VALUE"""),"40 ОД")</f>
        <v>40 ОД</v>
      </c>
      <c r="AC265" t="str">
        <f ca="1">IFERROR(__xludf.DUMMYFUNCTION("""COMPUTED_VALUE"""),"41190 ПОМОШНАЯ")</f>
        <v>41190 ПОМОШНАЯ</v>
      </c>
      <c r="AD265" t="str">
        <f ca="1">IFERROR(__xludf.DUMMYFUNCTION("""COMPUTED_VALUE"""),"18.02.21 09-00")</f>
        <v>18.02.21 09-00</v>
      </c>
      <c r="AE265" t="str">
        <f ca="1">IFERROR(__xludf.DUMMYFUNCTION("""COMPUTED_VALUE"""),"570 ИCТEК КAЛЕНДАРНЫЙ CPOК ДEПOВCКОГО PEМOНТA")</f>
        <v>570 ИCТEК КAЛЕНДАРНЫЙ CPOК ДEПOВCКОГО PEМOНТA</v>
      </c>
      <c r="AF265" t="str">
        <f ca="1">IFERROR(__xludf.DUMMYFUNCTION("""COMPUTED_VALUE"""),"40 ОД")</f>
        <v>40 ОД</v>
      </c>
      <c r="AG265" t="str">
        <f ca="1">IFERROR(__xludf.DUMMYFUNCTION("""COMPUTED_VALUE"""),"41190 ПОМОШНАЯ")</f>
        <v>41190 ПОМОШНАЯ</v>
      </c>
      <c r="AH265" t="str">
        <f ca="1">IFERROR(__xludf.DUMMYFUNCTION("""COMPUTED_VALUE"""),"26.02.21 11-00")</f>
        <v>26.02.21 11-00</v>
      </c>
      <c r="AI265" s="21">
        <f ca="1">IFERROR(__xludf.DUMMYFUNCTION("""COMPUTED_VALUE"""),44420.357662037)</f>
        <v>44420.357662037</v>
      </c>
    </row>
    <row r="266" spans="1:35" ht="13" x14ac:dyDescent="0.15">
      <c r="A266">
        <f ca="1">IFERROR(__xludf.DUMMYFUNCTION("""COMPUTED_VALUE"""),1099)</f>
        <v>1099</v>
      </c>
      <c r="B266" t="str">
        <f ca="1">IFERROR(__xludf.DUMMYFUNCTION("""COMPUTED_VALUE"""),"Техрейс")</f>
        <v>Техрейс</v>
      </c>
      <c r="C266" t="str">
        <f ca="1">IFERROR(__xludf.DUMMYFUNCTION("""COMPUTED_VALUE"""),"УТЛ")</f>
        <v>УТЛ</v>
      </c>
      <c r="D266">
        <f ca="1">IFERROR(__xludf.DUMMYFUNCTION("""COMPUTED_VALUE"""),62683719)</f>
        <v>62683719</v>
      </c>
      <c r="E266" t="str">
        <f ca="1">IFERROR(__xludf.DUMMYFUNCTION("""COMPUTED_VALUE"""),"60 ПОЛУВАГОНЫ")</f>
        <v>60 ПОЛУВАГОНЫ</v>
      </c>
      <c r="F266">
        <f ca="1">IFERROR(__xludf.DUMMYFUNCTION("""COMPUTED_VALUE"""),24133)</f>
        <v>24133</v>
      </c>
      <c r="G266" t="str">
        <f ca="1">IFERROR(__xludf.DUMMYFUNCTION("""COMPUTED_VALUE"""),"КАМЕНЬ ИЗВЕСТ")</f>
        <v>КАМЕНЬ ИЗВЕСТ</v>
      </c>
      <c r="H266">
        <f ca="1">IFERROR(__xludf.DUMMYFUNCTION("""COMPUTED_VALUE"""),66)</f>
        <v>66</v>
      </c>
      <c r="I266">
        <f ca="1">IFERROR(__xludf.DUMMYFUNCTION("""COMPUTED_VALUE"""),6832)</f>
        <v>6832</v>
      </c>
      <c r="J266" t="str">
        <f ca="1">IFERROR(__xludf.DUMMYFUNCTION("""COMPUTED_VALUE"""),"3601 (45640-013-45650) ВЕРХОВЦЕВО - ВОЛЬНОГОРСК")</f>
        <v>3601 (45640-013-45650) ВЕРХОВЦЕВО - ВОЛЬНОГОРСК</v>
      </c>
      <c r="K266">
        <f ca="1">IFERROR(__xludf.DUMMYFUNCTION("""COMPUTED_VALUE"""),45650)</f>
        <v>45650</v>
      </c>
      <c r="L266" t="str">
        <f ca="1">IFERROR(__xludf.DUMMYFUNCTION("""COMPUTED_VALUE"""),"ВОЛЬНОГОРСК")</f>
        <v>ВОЛЬНОГОРСК</v>
      </c>
      <c r="M266" t="str">
        <f ca="1">IFERROR(__xludf.DUMMYFUNCTION("""COMPUTED_VALUE"""),"10.08.21 16-45")</f>
        <v>10.08.21 16-45</v>
      </c>
      <c r="N266" t="str">
        <f ca="1">IFERROR(__xludf.DUMMYFUNCTION("""COMPUTED_VALUE"""),"21 ВЫГ2")</f>
        <v>21 ВЫГ2</v>
      </c>
      <c r="O266">
        <f ca="1">IFERROR(__xludf.DUMMYFUNCTION("""COMPUTED_VALUE"""),45650)</f>
        <v>45650</v>
      </c>
      <c r="P266" t="str">
        <f ca="1">IFERROR(__xludf.DUMMYFUNCTION("""COMPUTED_VALUE"""),"ВОЛЬНОГОРСК")</f>
        <v>ВОЛЬНОГОРСК</v>
      </c>
      <c r="Q266">
        <f ca="1">IFERROR(__xludf.DUMMYFUNCTION("""COMPUTED_VALUE"""),41790)</f>
        <v>41790</v>
      </c>
      <c r="R266" t="str">
        <f ca="1">IFERROR(__xludf.DUMMYFUNCTION("""COMPUTED_VALUE"""),"ХЕРСОН-ПОРТ")</f>
        <v>ХЕРСОН-ПОРТ</v>
      </c>
      <c r="S266" t="str">
        <f ca="1">IFERROR(__xludf.DUMMYFUNCTION("""COMPUTED_VALUE"""),"03.08.21 14-50")</f>
        <v>03.08.21 14-50</v>
      </c>
      <c r="U266" t="str">
        <f ca="1">IFERROR(__xludf.DUMMYFUNCTION("""COMPUTED_VALUE"""),"27.02.2024 ДР")</f>
        <v>27.02.2024 ДР</v>
      </c>
      <c r="Z266" t="str">
        <f ca="1">IFERROR(__xludf.DUMMYFUNCTION("""COMPUTED_VALUE"""),"ООО «ОТП ЛИЗИНГ»")</f>
        <v>ООО «ОТП ЛИЗИНГ»</v>
      </c>
      <c r="AA266" t="str">
        <f ca="1">IFERROR(__xludf.DUMMYFUNCTION("""COMPUTED_VALUE"""),"12-4106")</f>
        <v>12-4106</v>
      </c>
      <c r="AB266" t="str">
        <f ca="1">IFERROR(__xludf.DUMMYFUNCTION("""COMPUTED_VALUE"""),"35 ЛЬВ")</f>
        <v>35 ЛЬВ</v>
      </c>
      <c r="AC266" t="str">
        <f ca="1">IFERROR(__xludf.DUMMYFUNCTION("""COMPUTED_VALUE"""),"35000 ЗДОЛБУНОВ")</f>
        <v>35000 ЗДОЛБУНОВ</v>
      </c>
      <c r="AD266" t="str">
        <f ca="1">IFERROR(__xludf.DUMMYFUNCTION("""COMPUTED_VALUE"""),"17.05.21 17-00")</f>
        <v>17.05.21 17-00</v>
      </c>
      <c r="AE266" t="str">
        <f ca="1">IFERROR(__xludf.DUMMYFUNCTION("""COMPUTED_VALUE"""),"107 ВЫЩEPБИНА OБOДA КOЛECA")</f>
        <v>107 ВЫЩEPБИНА OБOДA КOЛECA</v>
      </c>
      <c r="AF266" t="str">
        <f ca="1">IFERROR(__xludf.DUMMYFUNCTION("""COMPUTED_VALUE"""),"35 ЛЬВ")</f>
        <v>35 ЛЬВ</v>
      </c>
      <c r="AG266" t="str">
        <f ca="1">IFERROR(__xludf.DUMMYFUNCTION("""COMPUTED_VALUE"""),"35000 ЗДОЛБУНОВ")</f>
        <v>35000 ЗДОЛБУНОВ</v>
      </c>
      <c r="AH266" t="str">
        <f ca="1">IFERROR(__xludf.DUMMYFUNCTION("""COMPUTED_VALUE"""),"19.05.21 18-30")</f>
        <v>19.05.21 18-30</v>
      </c>
      <c r="AI266" s="21">
        <f ca="1">IFERROR(__xludf.DUMMYFUNCTION("""COMPUTED_VALUE"""),44420.357662037)</f>
        <v>44420.357662037</v>
      </c>
    </row>
    <row r="267" spans="1:35" ht="13" x14ac:dyDescent="0.15">
      <c r="A267">
        <f ca="1">IFERROR(__xludf.DUMMYFUNCTION("""COMPUTED_VALUE"""),1100)</f>
        <v>1100</v>
      </c>
      <c r="B267" t="str">
        <f ca="1">IFERROR(__xludf.DUMMYFUNCTION("""COMPUTED_VALUE"""),"Техрейс")</f>
        <v>Техрейс</v>
      </c>
      <c r="C267" t="str">
        <f ca="1">IFERROR(__xludf.DUMMYFUNCTION("""COMPUTED_VALUE"""),"УТЛ")</f>
        <v>УТЛ</v>
      </c>
      <c r="D267">
        <f ca="1">IFERROR(__xludf.DUMMYFUNCTION("""COMPUTED_VALUE"""),61104576)</f>
        <v>61104576</v>
      </c>
      <c r="E267" t="str">
        <f ca="1">IFERROR(__xludf.DUMMYFUNCTION("""COMPUTED_VALUE"""),"60 ПОЛУВАГОНЫ")</f>
        <v>60 ПОЛУВАГОНЫ</v>
      </c>
      <c r="F267">
        <f ca="1">IFERROR(__xludf.DUMMYFUNCTION("""COMPUTED_VALUE"""),42103)</f>
        <v>42103</v>
      </c>
      <c r="G267" t="str">
        <f ca="1">IFERROR(__xludf.DUMMYFUNCTION("""COMPUTED_VALUE"""),"ВАГОНЫ ЖД СВ")</f>
        <v>ВАГОНЫ ЖД СВ</v>
      </c>
      <c r="H267">
        <f ca="1">IFERROR(__xludf.DUMMYFUNCTION("""COMPUTED_VALUE"""),70)</f>
        <v>70</v>
      </c>
      <c r="I267">
        <f ca="1">IFERROR(__xludf.DUMMYFUNCTION("""COMPUTED_VALUE"""),1641)</f>
        <v>1641</v>
      </c>
      <c r="J267" t="str">
        <f ca="1">IFERROR(__xludf.DUMMYFUNCTION("""COMPUTED_VALUE"""),"2148 (38250-040-37000) БАТЕВО - ЛЬВОВ")</f>
        <v>2148 (38250-040-37000) БАТЕВО - ЛЬВОВ</v>
      </c>
      <c r="K267">
        <f ca="1">IFERROR(__xludf.DUMMYFUNCTION("""COMPUTED_VALUE"""),37000)</f>
        <v>37000</v>
      </c>
      <c r="L267" t="str">
        <f ca="1">IFERROR(__xludf.DUMMYFUNCTION("""COMPUTED_VALUE"""),"ЛЬВОВ")</f>
        <v>ЛЬВОВ</v>
      </c>
      <c r="M267" t="str">
        <f ca="1">IFERROR(__xludf.DUMMYFUNCTION("""COMPUTED_VALUE"""),"12.08.21 02-32")</f>
        <v>12.08.21 02-32</v>
      </c>
      <c r="N267" t="str">
        <f ca="1">IFERROR(__xludf.DUMMYFUNCTION("""COMPUTED_VALUE"""),"01 ПРИБ")</f>
        <v>01 ПРИБ</v>
      </c>
      <c r="O267">
        <f ca="1">IFERROR(__xludf.DUMMYFUNCTION("""COMPUTED_VALUE"""),36440)</f>
        <v>36440</v>
      </c>
      <c r="P267" t="str">
        <f ca="1">IFERROR(__xludf.DUMMYFUNCTION("""COMPUTED_VALUE"""),"БУЧАЧ")</f>
        <v>БУЧАЧ</v>
      </c>
      <c r="Q267">
        <f ca="1">IFERROR(__xludf.DUMMYFUNCTION("""COMPUTED_VALUE"""),49480)</f>
        <v>49480</v>
      </c>
      <c r="R267" t="str">
        <f ca="1">IFERROR(__xludf.DUMMYFUNCTION("""COMPUTED_VALUE"""),"СОЛЬ")</f>
        <v>СОЛЬ</v>
      </c>
      <c r="S267" t="str">
        <f ca="1">IFERROR(__xludf.DUMMYFUNCTION("""COMPUTED_VALUE"""),"29.07.21 14-00")</f>
        <v>29.07.21 14-00</v>
      </c>
      <c r="T267">
        <f ca="1">IFERROR(__xludf.DUMMYFUNCTION("""COMPUTED_VALUE"""),0)</f>
        <v>0</v>
      </c>
      <c r="U267" t="str">
        <f ca="1">IFERROR(__xludf.DUMMYFUNCTION("""COMPUTED_VALUE"""),"26.02.2022 ДР")</f>
        <v>26.02.2022 ДР</v>
      </c>
      <c r="Z267" t="str">
        <f ca="1">IFERROR(__xludf.DUMMYFUNCTION("""COMPUTED_VALUE"""),"ООО «ОТП ЛИЗИНГ»")</f>
        <v>ООО «ОТП ЛИЗИНГ»</v>
      </c>
      <c r="AA267" t="str">
        <f ca="1">IFERROR(__xludf.DUMMYFUNCTION("""COMPUTED_VALUE"""),"12-9745")</f>
        <v>12-9745</v>
      </c>
      <c r="AB267" t="str">
        <f ca="1">IFERROR(__xludf.DUMMYFUNCTION("""COMPUTED_VALUE"""),"45 ПРИДН")</f>
        <v>45 ПРИДН</v>
      </c>
      <c r="AC267" t="str">
        <f ca="1">IFERROR(__xludf.DUMMYFUNCTION("""COMPUTED_VALUE"""),"46710 КРИВ.РОГ-СОР")</f>
        <v>46710 КРИВ.РОГ-СОР</v>
      </c>
      <c r="AD267" t="str">
        <f ca="1">IFERROR(__xludf.DUMMYFUNCTION("""COMPUTED_VALUE"""),"18.02.21 15-27")</f>
        <v>18.02.21 15-27</v>
      </c>
      <c r="AE267" t="str">
        <f ca="1">IFERROR(__xludf.DUMMYFUNCTION("""COMPUTED_VALUE"""),"570 ИCТEК КAЛЕНДАРНЫЙ CPOК ДEПOВCКОГО PEМOНТA")</f>
        <v>570 ИCТEК КAЛЕНДАРНЫЙ CPOК ДEПOВCКОГО PEМOНТA</v>
      </c>
      <c r="AF267" t="str">
        <f ca="1">IFERROR(__xludf.DUMMYFUNCTION("""COMPUTED_VALUE"""),"45 ПРИДН")</f>
        <v>45 ПРИДН</v>
      </c>
      <c r="AG267" t="str">
        <f ca="1">IFERROR(__xludf.DUMMYFUNCTION("""COMPUTED_VALUE"""),"46710 КРИВ.РОГ-СОР")</f>
        <v>46710 КРИВ.РОГ-СОР</v>
      </c>
      <c r="AH267" t="str">
        <f ca="1">IFERROR(__xludf.DUMMYFUNCTION("""COMPUTED_VALUE"""),"26.02.21 16-08")</f>
        <v>26.02.21 16-08</v>
      </c>
      <c r="AI267" s="21">
        <f ca="1">IFERROR(__xludf.DUMMYFUNCTION("""COMPUTED_VALUE"""),44420.357662037)</f>
        <v>44420.357662037</v>
      </c>
    </row>
    <row r="268" spans="1:35" ht="13" x14ac:dyDescent="0.15">
      <c r="A268">
        <f ca="1">IFERROR(__xludf.DUMMYFUNCTION("""COMPUTED_VALUE"""),1101)</f>
        <v>1101</v>
      </c>
      <c r="B268" t="str">
        <f ca="1">IFERROR(__xludf.DUMMYFUNCTION("""COMPUTED_VALUE"""),"Техрейс")</f>
        <v>Техрейс</v>
      </c>
      <c r="C268" t="str">
        <f ca="1">IFERROR(__xludf.DUMMYFUNCTION("""COMPUTED_VALUE"""),"УТЛ")</f>
        <v>УТЛ</v>
      </c>
      <c r="D268">
        <f ca="1">IFERROR(__xludf.DUMMYFUNCTION("""COMPUTED_VALUE"""),62683909)</f>
        <v>62683909</v>
      </c>
      <c r="E268" t="str">
        <f ca="1">IFERROR(__xludf.DUMMYFUNCTION("""COMPUTED_VALUE"""),"60 ПОЛУВАГОНЫ")</f>
        <v>60 ПОЛУВАГОНЫ</v>
      </c>
      <c r="F268">
        <f ca="1">IFERROR(__xludf.DUMMYFUNCTION("""COMPUTED_VALUE"""),42103)</f>
        <v>42103</v>
      </c>
      <c r="G268" t="str">
        <f ca="1">IFERROR(__xludf.DUMMYFUNCTION("""COMPUTED_VALUE"""),"ВАГОНЫ ЖД СВ")</f>
        <v>ВАГОНЫ ЖД СВ</v>
      </c>
      <c r="H268">
        <f ca="1">IFERROR(__xludf.DUMMYFUNCTION("""COMPUTED_VALUE"""),0)</f>
        <v>0</v>
      </c>
      <c r="I268">
        <f ca="1">IFERROR(__xludf.DUMMYFUNCTION("""COMPUTED_VALUE"""),5343)</f>
        <v>5343</v>
      </c>
      <c r="J268" t="str">
        <f ca="1">IFERROR(__xludf.DUMMYFUNCTION("""COMPUTED_VALUE"""),"3501 (46710-483-46720) КРИВ.РОГ-СОР - КРИВОЙ РОГ")</f>
        <v>3501 (46710-483-46720) КРИВ.РОГ-СОР - КРИВОЙ РОГ</v>
      </c>
      <c r="K268">
        <f ca="1">IFERROR(__xludf.DUMMYFUNCTION("""COMPUTED_VALUE"""),46710)</f>
        <v>46710</v>
      </c>
      <c r="L268" t="str">
        <f ca="1">IFERROR(__xludf.DUMMYFUNCTION("""COMPUTED_VALUE"""),"КРИВ.РОГ-СОР")</f>
        <v>КРИВ.РОГ-СОР</v>
      </c>
      <c r="M268" t="str">
        <f ca="1">IFERROR(__xludf.DUMMYFUNCTION("""COMPUTED_VALUE"""),"12.08.21 02-01")</f>
        <v>12.08.21 02-01</v>
      </c>
      <c r="N268" t="str">
        <f ca="1">IFERROR(__xludf.DUMMYFUNCTION("""COMPUTED_VALUE"""),"05 ФОРМ")</f>
        <v>05 ФОРМ</v>
      </c>
      <c r="O268">
        <f ca="1">IFERROR(__xludf.DUMMYFUNCTION("""COMPUTED_VALUE"""),46720)</f>
        <v>46720</v>
      </c>
      <c r="P268" t="str">
        <f ca="1">IFERROR(__xludf.DUMMYFUNCTION("""COMPUTED_VALUE"""),"КРИВОЙ РОГ")</f>
        <v>КРИВОЙ РОГ</v>
      </c>
      <c r="Q268">
        <f ca="1">IFERROR(__xludf.DUMMYFUNCTION("""COMPUTED_VALUE"""),40050)</f>
        <v>40050</v>
      </c>
      <c r="R268" t="str">
        <f ca="1">IFERROR(__xludf.DUMMYFUNCTION("""COMPUTED_VALUE"""),"БЕРЕГОВАЯ")</f>
        <v>БЕРЕГОВАЯ</v>
      </c>
      <c r="S268" t="str">
        <f ca="1">IFERROR(__xludf.DUMMYFUNCTION("""COMPUTED_VALUE"""),"08.08.21 22-10")</f>
        <v>08.08.21 22-10</v>
      </c>
      <c r="T268">
        <f ca="1">IFERROR(__xludf.DUMMYFUNCTION("""COMPUTED_VALUE"""),8200)</f>
        <v>8200</v>
      </c>
      <c r="U268" t="str">
        <f ca="1">IFERROR(__xludf.DUMMYFUNCTION("""COMPUTED_VALUE"""),"16.02.2024 ДР")</f>
        <v>16.02.2024 ДР</v>
      </c>
      <c r="Z268" t="str">
        <f ca="1">IFERROR(__xludf.DUMMYFUNCTION("""COMPUTED_VALUE"""),"ООО «ОТП ЛИЗИНГ»")</f>
        <v>ООО «ОТП ЛИЗИНГ»</v>
      </c>
      <c r="AA268" t="str">
        <f ca="1">IFERROR(__xludf.DUMMYFUNCTION("""COMPUTED_VALUE"""),"12-4106")</f>
        <v>12-4106</v>
      </c>
      <c r="AB268" t="str">
        <f ca="1">IFERROR(__xludf.DUMMYFUNCTION("""COMPUTED_VALUE"""),"40 ОД")</f>
        <v>40 ОД</v>
      </c>
      <c r="AC268" t="str">
        <f ca="1">IFERROR(__xludf.DUMMYFUNCTION("""COMPUTED_VALUE"""),"41190 ПОМОШНАЯ")</f>
        <v>41190 ПОМОШНАЯ</v>
      </c>
      <c r="AD268" t="str">
        <f ca="1">IFERROR(__xludf.DUMMYFUNCTION("""COMPUTED_VALUE"""),"16.02.21 07-00")</f>
        <v>16.02.21 07-00</v>
      </c>
      <c r="AE268" t="str">
        <f ca="1">IFERROR(__xludf.DUMMYFUNCTION("""COMPUTED_VALUE"""),"570 ИCТEК КAЛЕНДАРНЫЙ CPOК ДEПOВCКОГО PEМOНТA")</f>
        <v>570 ИCТEК КAЛЕНДАРНЫЙ CPOК ДEПOВCКОГО PEМOНТA</v>
      </c>
      <c r="AF268" t="str">
        <f ca="1">IFERROR(__xludf.DUMMYFUNCTION("""COMPUTED_VALUE"""),"40 ОД")</f>
        <v>40 ОД</v>
      </c>
      <c r="AG268" t="str">
        <f ca="1">IFERROR(__xludf.DUMMYFUNCTION("""COMPUTED_VALUE"""),"41190 ПОМОШНАЯ")</f>
        <v>41190 ПОМОШНАЯ</v>
      </c>
      <c r="AH268" t="str">
        <f ca="1">IFERROR(__xludf.DUMMYFUNCTION("""COMPUTED_VALUE"""),"16.02.21 18-40")</f>
        <v>16.02.21 18-40</v>
      </c>
      <c r="AI268" s="21">
        <f ca="1">IFERROR(__xludf.DUMMYFUNCTION("""COMPUTED_VALUE"""),44420.357662037)</f>
        <v>44420.357662037</v>
      </c>
    </row>
    <row r="269" spans="1:35" ht="13" x14ac:dyDescent="0.15">
      <c r="A269">
        <f ca="1">IFERROR(__xludf.DUMMYFUNCTION("""COMPUTED_VALUE"""),1102)</f>
        <v>1102</v>
      </c>
      <c r="B269" t="str">
        <f ca="1">IFERROR(__xludf.DUMMYFUNCTION("""COMPUTED_VALUE"""),"Техрейс")</f>
        <v>Техрейс</v>
      </c>
      <c r="C269" t="str">
        <f ca="1">IFERROR(__xludf.DUMMYFUNCTION("""COMPUTED_VALUE"""),"УТЛ")</f>
        <v>УТЛ</v>
      </c>
      <c r="D269">
        <f ca="1">IFERROR(__xludf.DUMMYFUNCTION("""COMPUTED_VALUE"""),62682455)</f>
        <v>62682455</v>
      </c>
      <c r="E269" t="str">
        <f ca="1">IFERROR(__xludf.DUMMYFUNCTION("""COMPUTED_VALUE"""),"60 ПОЛУВАГОНЫ")</f>
        <v>60 ПОЛУВАГОНЫ</v>
      </c>
      <c r="F269">
        <f ca="1">IFERROR(__xludf.DUMMYFUNCTION("""COMPUTED_VALUE"""),23311)</f>
        <v>23311</v>
      </c>
      <c r="G269" t="str">
        <f ca="1">IFERROR(__xludf.DUMMYFUNCTION("""COMPUTED_VALUE"""),"ИЗВЕСТЬ НЕГАШЕН")</f>
        <v>ИЗВЕСТЬ НЕГАШЕН</v>
      </c>
      <c r="H269">
        <f ca="1">IFERROR(__xludf.DUMMYFUNCTION("""COMPUTED_VALUE"""),69)</f>
        <v>69</v>
      </c>
      <c r="I269">
        <f ca="1">IFERROR(__xludf.DUMMYFUNCTION("""COMPUTED_VALUE"""),1878)</f>
        <v>1878</v>
      </c>
      <c r="J269" t="str">
        <f ca="1">IFERROR(__xludf.DUMMYFUNCTION("""COMPUTED_VALUE"""),"3005 (35550-030-35000) САРНЫ - ЗДОЛБУНОВ")</f>
        <v>3005 (35550-030-35000) САРНЫ - ЗДОЛБУНОВ</v>
      </c>
      <c r="K269">
        <f ca="1">IFERROR(__xludf.DUMMYFUNCTION("""COMPUTED_VALUE"""),35670)</f>
        <v>35670</v>
      </c>
      <c r="L269" t="str">
        <f ca="1">IFERROR(__xludf.DUMMYFUNCTION("""COMPUTED_VALUE"""),"ЛЮБОМИРСК")</f>
        <v>ЛЮБОМИРСК</v>
      </c>
      <c r="M269" t="str">
        <f ca="1">IFERROR(__xludf.DUMMYFUNCTION("""COMPUTED_VALUE"""),"11.08.21 02-25")</f>
        <v>11.08.21 02-25</v>
      </c>
      <c r="N269" t="str">
        <f ca="1">IFERROR(__xludf.DUMMYFUNCTION("""COMPUTED_VALUE"""),"71 ПРИЦ")</f>
        <v>71 ПРИЦ</v>
      </c>
      <c r="O269">
        <f ca="1">IFERROR(__xludf.DUMMYFUNCTION("""COMPUTED_VALUE"""),42420)</f>
        <v>42420</v>
      </c>
      <c r="P269" t="str">
        <f ca="1">IFERROR(__xludf.DUMMYFUNCTION("""COMPUTED_VALUE"""),"ЧЕРКАССЫ")</f>
        <v>ЧЕРКАССЫ</v>
      </c>
      <c r="Q269">
        <f ca="1">IFERROR(__xludf.DUMMYFUNCTION("""COMPUTED_VALUE"""),35670)</f>
        <v>35670</v>
      </c>
      <c r="R269" t="str">
        <f ca="1">IFERROR(__xludf.DUMMYFUNCTION("""COMPUTED_VALUE"""),"ЛЮБОМИРСК")</f>
        <v>ЛЮБОМИРСК</v>
      </c>
      <c r="S269" t="str">
        <f ca="1">IFERROR(__xludf.DUMMYFUNCTION("""COMPUTED_VALUE"""),"10.08.21 15-40")</f>
        <v>10.08.21 15-40</v>
      </c>
      <c r="T269">
        <f ca="1">IFERROR(__xludf.DUMMYFUNCTION("""COMPUTED_VALUE"""),2931)</f>
        <v>2931</v>
      </c>
      <c r="U269" t="str">
        <f ca="1">IFERROR(__xludf.DUMMYFUNCTION("""COMPUTED_VALUE"""),"11.02.2024 ДР")</f>
        <v>11.02.2024 ДР</v>
      </c>
      <c r="Z269" t="str">
        <f ca="1">IFERROR(__xludf.DUMMYFUNCTION("""COMPUTED_VALUE"""),"ООО «ОТП ЛИЗИНГ»")</f>
        <v>ООО «ОТП ЛИЗИНГ»</v>
      </c>
      <c r="AA269" t="str">
        <f ca="1">IFERROR(__xludf.DUMMYFUNCTION("""COMPUTED_VALUE"""),"12-4106")</f>
        <v>12-4106</v>
      </c>
      <c r="AB269" t="str">
        <f ca="1">IFERROR(__xludf.DUMMYFUNCTION("""COMPUTED_VALUE"""),"40 ОД")</f>
        <v>40 ОД</v>
      </c>
      <c r="AC269" t="str">
        <f ca="1">IFERROR(__xludf.DUMMYFUNCTION("""COMPUTED_VALUE"""),"41190 ПОМОШНАЯ")</f>
        <v>41190 ПОМОШНАЯ</v>
      </c>
      <c r="AD269" t="str">
        <f ca="1">IFERROR(__xludf.DUMMYFUNCTION("""COMPUTED_VALUE"""),"07.02.21 14-00")</f>
        <v>07.02.21 14-00</v>
      </c>
      <c r="AE269" t="str">
        <f ca="1">IFERROR(__xludf.DUMMYFUNCTION("""COMPUTED_VALUE"""),"570 ИCТEК КAЛЕНДАРНЫЙ CPOК ДEПOВCКОГО PEМOНТA")</f>
        <v>570 ИCТEК КAЛЕНДАРНЫЙ CPOК ДEПOВCКОГО PEМOНТA</v>
      </c>
      <c r="AF269" t="str">
        <f ca="1">IFERROR(__xludf.DUMMYFUNCTION("""COMPUTED_VALUE"""),"40 ОД")</f>
        <v>40 ОД</v>
      </c>
      <c r="AG269" t="str">
        <f ca="1">IFERROR(__xludf.DUMMYFUNCTION("""COMPUTED_VALUE"""),"41190 ПОМОШНАЯ")</f>
        <v>41190 ПОМОШНАЯ</v>
      </c>
      <c r="AH269" t="str">
        <f ca="1">IFERROR(__xludf.DUMMYFUNCTION("""COMPUTED_VALUE"""),"11.02.21 16-00")</f>
        <v>11.02.21 16-00</v>
      </c>
      <c r="AI269" s="21">
        <f ca="1">IFERROR(__xludf.DUMMYFUNCTION("""COMPUTED_VALUE"""),44420.357662037)</f>
        <v>44420.357662037</v>
      </c>
    </row>
    <row r="270" spans="1:35" ht="13" x14ac:dyDescent="0.15">
      <c r="A270">
        <f ca="1">IFERROR(__xludf.DUMMYFUNCTION("""COMPUTED_VALUE"""),1103)</f>
        <v>1103</v>
      </c>
      <c r="B270" t="str">
        <f ca="1">IFERROR(__xludf.DUMMYFUNCTION("""COMPUTED_VALUE"""),"Техрейс")</f>
        <v>Техрейс</v>
      </c>
      <c r="C270" t="str">
        <f ca="1">IFERROR(__xludf.DUMMYFUNCTION("""COMPUTED_VALUE"""),"УТЛ")</f>
        <v>УТЛ</v>
      </c>
      <c r="D270">
        <f ca="1">IFERROR(__xludf.DUMMYFUNCTION("""COMPUTED_VALUE"""),62679824)</f>
        <v>62679824</v>
      </c>
      <c r="E270" t="str">
        <f ca="1">IFERROR(__xludf.DUMMYFUNCTION("""COMPUTED_VALUE"""),"60 ПОЛУВАГОНЫ")</f>
        <v>60 ПОЛУВАГОНЫ</v>
      </c>
      <c r="F270">
        <f ca="1">IFERROR(__xludf.DUMMYFUNCTION("""COMPUTED_VALUE"""),42103)</f>
        <v>42103</v>
      </c>
      <c r="G270" t="str">
        <f ca="1">IFERROR(__xludf.DUMMYFUNCTION("""COMPUTED_VALUE"""),"ВАГОНЫ ЖД СВ")</f>
        <v>ВАГОНЫ ЖД СВ</v>
      </c>
      <c r="H270">
        <f ca="1">IFERROR(__xludf.DUMMYFUNCTION("""COMPUTED_VALUE"""),0)</f>
        <v>0</v>
      </c>
      <c r="I270">
        <f ca="1">IFERROR(__xludf.DUMMYFUNCTION("""COMPUTED_VALUE"""),5343)</f>
        <v>5343</v>
      </c>
      <c r="J270" t="str">
        <f ca="1">IFERROR(__xludf.DUMMYFUNCTION("""COMPUTED_VALUE"""),"3501 (46710-483-46720) КРИВ.РОГ-СОР - КРИВОЙ РОГ")</f>
        <v>3501 (46710-483-46720) КРИВ.РОГ-СОР - КРИВОЙ РОГ</v>
      </c>
      <c r="K270">
        <f ca="1">IFERROR(__xludf.DUMMYFUNCTION("""COMPUTED_VALUE"""),46710)</f>
        <v>46710</v>
      </c>
      <c r="L270" t="str">
        <f ca="1">IFERROR(__xludf.DUMMYFUNCTION("""COMPUTED_VALUE"""),"КРИВ.РОГ-СОР")</f>
        <v>КРИВ.РОГ-СОР</v>
      </c>
      <c r="M270" t="str">
        <f ca="1">IFERROR(__xludf.DUMMYFUNCTION("""COMPUTED_VALUE"""),"12.08.21 02-01")</f>
        <v>12.08.21 02-01</v>
      </c>
      <c r="N270" t="str">
        <f ca="1">IFERROR(__xludf.DUMMYFUNCTION("""COMPUTED_VALUE"""),"05 ФОРМ")</f>
        <v>05 ФОРМ</v>
      </c>
      <c r="O270">
        <f ca="1">IFERROR(__xludf.DUMMYFUNCTION("""COMPUTED_VALUE"""),46720)</f>
        <v>46720</v>
      </c>
      <c r="P270" t="str">
        <f ca="1">IFERROR(__xludf.DUMMYFUNCTION("""COMPUTED_VALUE"""),"КРИВОЙ РОГ")</f>
        <v>КРИВОЙ РОГ</v>
      </c>
      <c r="Q270">
        <f ca="1">IFERROR(__xludf.DUMMYFUNCTION("""COMPUTED_VALUE"""),40050)</f>
        <v>40050</v>
      </c>
      <c r="R270" t="str">
        <f ca="1">IFERROR(__xludf.DUMMYFUNCTION("""COMPUTED_VALUE"""),"БЕРЕГОВАЯ")</f>
        <v>БЕРЕГОВАЯ</v>
      </c>
      <c r="S270" t="str">
        <f ca="1">IFERROR(__xludf.DUMMYFUNCTION("""COMPUTED_VALUE"""),"08.08.21 22-10")</f>
        <v>08.08.21 22-10</v>
      </c>
      <c r="T270">
        <f ca="1">IFERROR(__xludf.DUMMYFUNCTION("""COMPUTED_VALUE"""),8200)</f>
        <v>8200</v>
      </c>
      <c r="U270" t="str">
        <f ca="1">IFERROR(__xludf.DUMMYFUNCTION("""COMPUTED_VALUE"""),"02.02.2024 ДР")</f>
        <v>02.02.2024 ДР</v>
      </c>
      <c r="Z270" t="str">
        <f ca="1">IFERROR(__xludf.DUMMYFUNCTION("""COMPUTED_VALUE"""),"ООО «ОТП ЛИЗИНГ»")</f>
        <v>ООО «ОТП ЛИЗИНГ»</v>
      </c>
      <c r="AA270" t="str">
        <f ca="1">IFERROR(__xludf.DUMMYFUNCTION("""COMPUTED_VALUE"""),"12-4106")</f>
        <v>12-4106</v>
      </c>
      <c r="AB270" t="str">
        <f ca="1">IFERROR(__xludf.DUMMYFUNCTION("""COMPUTED_VALUE"""),"40 ОД")</f>
        <v>40 ОД</v>
      </c>
      <c r="AC270" t="str">
        <f ca="1">IFERROR(__xludf.DUMMYFUNCTION("""COMPUTED_VALUE"""),"41190 ПОМОШНАЯ")</f>
        <v>41190 ПОМОШНАЯ</v>
      </c>
      <c r="AD270" t="str">
        <f ca="1">IFERROR(__xludf.DUMMYFUNCTION("""COMPUTED_VALUE"""),"31.01.21 15-45")</f>
        <v>31.01.21 15-45</v>
      </c>
      <c r="AE270" t="str">
        <f ca="1">IFERROR(__xludf.DUMMYFUNCTION("""COMPUTED_VALUE"""),"570 ИCТEК КAЛЕНДАРНЫЙ CPOК ДEПOВCКОГО PEМOНТA")</f>
        <v>570 ИCТEК КAЛЕНДАРНЫЙ CPOК ДEПOВCКОГО PEМOНТA</v>
      </c>
      <c r="AF270" t="str">
        <f ca="1">IFERROR(__xludf.DUMMYFUNCTION("""COMPUTED_VALUE"""),"40 ОД")</f>
        <v>40 ОД</v>
      </c>
      <c r="AG270" t="str">
        <f ca="1">IFERROR(__xludf.DUMMYFUNCTION("""COMPUTED_VALUE"""),"41190 ПОМОШНАЯ")</f>
        <v>41190 ПОМОШНАЯ</v>
      </c>
      <c r="AH270" t="str">
        <f ca="1">IFERROR(__xludf.DUMMYFUNCTION("""COMPUTED_VALUE"""),"02.02.21 13-30")</f>
        <v>02.02.21 13-30</v>
      </c>
      <c r="AI270" s="21">
        <f ca="1">IFERROR(__xludf.DUMMYFUNCTION("""COMPUTED_VALUE"""),44420.357662037)</f>
        <v>44420.357662037</v>
      </c>
    </row>
    <row r="271" spans="1:35" ht="13" x14ac:dyDescent="0.15">
      <c r="A271">
        <f ca="1">IFERROR(__xludf.DUMMYFUNCTION("""COMPUTED_VALUE"""),1104)</f>
        <v>1104</v>
      </c>
      <c r="B271" t="str">
        <f ca="1">IFERROR(__xludf.DUMMYFUNCTION("""COMPUTED_VALUE"""),"Техрейс")</f>
        <v>Техрейс</v>
      </c>
      <c r="C271" t="str">
        <f ca="1">IFERROR(__xludf.DUMMYFUNCTION("""COMPUTED_VALUE"""),"УТЛ")</f>
        <v>УТЛ</v>
      </c>
      <c r="D271">
        <f ca="1">IFERROR(__xludf.DUMMYFUNCTION("""COMPUTED_VALUE"""),62679550)</f>
        <v>62679550</v>
      </c>
      <c r="E271" t="str">
        <f ca="1">IFERROR(__xludf.DUMMYFUNCTION("""COMPUTED_VALUE"""),"60 ПОЛУВАГОНЫ")</f>
        <v>60 ПОЛУВАГОНЫ</v>
      </c>
      <c r="F271">
        <f ca="1">IFERROR(__xludf.DUMMYFUNCTION("""COMPUTED_VALUE"""),42103)</f>
        <v>42103</v>
      </c>
      <c r="G271" t="str">
        <f ca="1">IFERROR(__xludf.DUMMYFUNCTION("""COMPUTED_VALUE"""),"ВАГОНЫ ЖД СВ")</f>
        <v>ВАГОНЫ ЖД СВ</v>
      </c>
      <c r="H271">
        <f ca="1">IFERROR(__xludf.DUMMYFUNCTION("""COMPUTED_VALUE"""),0)</f>
        <v>0</v>
      </c>
      <c r="I271">
        <f ca="1">IFERROR(__xludf.DUMMYFUNCTION("""COMPUTED_VALUE"""),5343)</f>
        <v>5343</v>
      </c>
      <c r="J271" t="str">
        <f ca="1">IFERROR(__xludf.DUMMYFUNCTION("""COMPUTED_VALUE"""),"3501 (46720-470-40060) КРИВОЙ РОГ - БЕРЕГОВАЯ-Э")</f>
        <v>3501 (46720-470-40060) КРИВОЙ РОГ - БЕРЕГОВАЯ-Э</v>
      </c>
      <c r="K271">
        <f ca="1">IFERROR(__xludf.DUMMYFUNCTION("""COMPUTED_VALUE"""),46720)</f>
        <v>46720</v>
      </c>
      <c r="L271" t="str">
        <f ca="1">IFERROR(__xludf.DUMMYFUNCTION("""COMPUTED_VALUE"""),"КРИВОЙ РОГ")</f>
        <v>КРИВОЙ РОГ</v>
      </c>
      <c r="M271" t="str">
        <f ca="1">IFERROR(__xludf.DUMMYFUNCTION("""COMPUTED_VALUE"""),"11.08.21 16-30")</f>
        <v>11.08.21 16-30</v>
      </c>
      <c r="N271" t="str">
        <f ca="1">IFERROR(__xludf.DUMMYFUNCTION("""COMPUTED_VALUE"""),"98 ОТОТ")</f>
        <v>98 ОТОТ</v>
      </c>
      <c r="O271">
        <f ca="1">IFERROR(__xludf.DUMMYFUNCTION("""COMPUTED_VALUE"""),46720)</f>
        <v>46720</v>
      </c>
      <c r="P271" t="str">
        <f ca="1">IFERROR(__xludf.DUMMYFUNCTION("""COMPUTED_VALUE"""),"КРИВОЙ РОГ")</f>
        <v>КРИВОЙ РОГ</v>
      </c>
      <c r="Q271">
        <f ca="1">IFERROR(__xludf.DUMMYFUNCTION("""COMPUTED_VALUE"""),40050)</f>
        <v>40050</v>
      </c>
      <c r="R271" t="str">
        <f ca="1">IFERROR(__xludf.DUMMYFUNCTION("""COMPUTED_VALUE"""),"БЕРЕГОВАЯ")</f>
        <v>БЕРЕГОВАЯ</v>
      </c>
      <c r="S271" t="str">
        <f ca="1">IFERROR(__xludf.DUMMYFUNCTION("""COMPUTED_VALUE"""),"10.08.21 04-50")</f>
        <v>10.08.21 04-50</v>
      </c>
      <c r="T271">
        <f ca="1">IFERROR(__xludf.DUMMYFUNCTION("""COMPUTED_VALUE"""),8200)</f>
        <v>8200</v>
      </c>
      <c r="U271" t="str">
        <f ca="1">IFERROR(__xludf.DUMMYFUNCTION("""COMPUTED_VALUE"""),"18.02.2024 ДР")</f>
        <v>18.02.2024 ДР</v>
      </c>
      <c r="Z271" t="str">
        <f ca="1">IFERROR(__xludf.DUMMYFUNCTION("""COMPUTED_VALUE"""),"ООО «ОТП ЛИЗИНГ»")</f>
        <v>ООО «ОТП ЛИЗИНГ»</v>
      </c>
      <c r="AA271" t="str">
        <f ca="1">IFERROR(__xludf.DUMMYFUNCTION("""COMPUTED_VALUE"""),"12-4106")</f>
        <v>12-4106</v>
      </c>
      <c r="AB271" t="str">
        <f ca="1">IFERROR(__xludf.DUMMYFUNCTION("""COMPUTED_VALUE"""),"45 ПРИДН")</f>
        <v>45 ПРИДН</v>
      </c>
      <c r="AC271" t="str">
        <f ca="1">IFERROR(__xludf.DUMMYFUNCTION("""COMPUTED_VALUE"""),"46710 КРИВ.РОГ-СОР")</f>
        <v>46710 КРИВ.РОГ-СОР</v>
      </c>
      <c r="AD271" t="str">
        <f ca="1">IFERROR(__xludf.DUMMYFUNCTION("""COMPUTED_VALUE"""),"10.02.21 13-22")</f>
        <v>10.02.21 13-22</v>
      </c>
      <c r="AE271" t="str">
        <f ca="1">IFERROR(__xludf.DUMMYFUNCTION("""COMPUTED_VALUE"""),"570 ИCТEК КAЛЕНДАРНЫЙ CPOК ДEПOВCКОГО PEМOНТA")</f>
        <v>570 ИCТEК КAЛЕНДАРНЫЙ CPOК ДEПOВCКОГО PEМOНТA</v>
      </c>
      <c r="AF271" t="str">
        <f ca="1">IFERROR(__xludf.DUMMYFUNCTION("""COMPUTED_VALUE"""),"45 ПРИДН")</f>
        <v>45 ПРИДН</v>
      </c>
      <c r="AG271" t="str">
        <f ca="1">IFERROR(__xludf.DUMMYFUNCTION("""COMPUTED_VALUE"""),"46710 КРИВ.РОГ-СОР")</f>
        <v>46710 КРИВ.РОГ-СОР</v>
      </c>
      <c r="AH271" t="str">
        <f ca="1">IFERROR(__xludf.DUMMYFUNCTION("""COMPUTED_VALUE"""),"18.02.21 14-43")</f>
        <v>18.02.21 14-43</v>
      </c>
      <c r="AI271" s="21">
        <f ca="1">IFERROR(__xludf.DUMMYFUNCTION("""COMPUTED_VALUE"""),44420.357662037)</f>
        <v>44420.357662037</v>
      </c>
    </row>
    <row r="272" spans="1:35" ht="13" x14ac:dyDescent="0.15">
      <c r="A272">
        <f ca="1">IFERROR(__xludf.DUMMYFUNCTION("""COMPUTED_VALUE"""),1107)</f>
        <v>1107</v>
      </c>
      <c r="B272" t="str">
        <f ca="1">IFERROR(__xludf.DUMMYFUNCTION("""COMPUTED_VALUE"""),"Лидер")</f>
        <v>Лидер</v>
      </c>
      <c r="C272" t="str">
        <f ca="1">IFERROR(__xludf.DUMMYFUNCTION("""COMPUTED_VALUE"""),"Галицька Логістична Компанія ")</f>
        <v xml:space="preserve">Галицька Логістична Компанія </v>
      </c>
      <c r="D272">
        <f ca="1">IFERROR(__xludf.DUMMYFUNCTION("""COMPUTED_VALUE"""),56936255)</f>
        <v>56936255</v>
      </c>
      <c r="E272" t="str">
        <f ca="1">IFERROR(__xludf.DUMMYFUNCTION("""COMPUTED_VALUE"""),"60 ПОЛУВАГОНЫ")</f>
        <v>60 ПОЛУВАГОНЫ</v>
      </c>
      <c r="F272">
        <f ca="1">IFERROR(__xludf.DUMMYFUNCTION("""COMPUTED_VALUE"""),42103)</f>
        <v>42103</v>
      </c>
      <c r="G272" t="str">
        <f ca="1">IFERROR(__xludf.DUMMYFUNCTION("""COMPUTED_VALUE"""),"ВАГОНЫ ЖД СВ")</f>
        <v>ВАГОНЫ ЖД СВ</v>
      </c>
      <c r="H272">
        <f ca="1">IFERROR(__xludf.DUMMYFUNCTION("""COMPUTED_VALUE"""),0)</f>
        <v>0</v>
      </c>
      <c r="I272">
        <f ca="1">IFERROR(__xludf.DUMMYFUNCTION("""COMPUTED_VALUE"""),7052)</f>
        <v>7052</v>
      </c>
      <c r="J272" t="str">
        <f ca="1">IFERROR(__xludf.DUMMYFUNCTION("""COMPUTED_VALUE"""),"3502 (34630-492-34850) КОРОСТЕНЬ - УШИЦА")</f>
        <v>3502 (34630-492-34850) КОРОСТЕНЬ - УШИЦА</v>
      </c>
      <c r="K272">
        <f ca="1">IFERROR(__xludf.DUMMYFUNCTION("""COMPUTED_VALUE"""),34640)</f>
        <v>34640</v>
      </c>
      <c r="L272" t="str">
        <f ca="1">IFERROR(__xludf.DUMMYFUNCTION("""COMPUTED_VALUE"""),"КОРОСТ-ПОДОЛ")</f>
        <v>КОРОСТ-ПОДОЛ</v>
      </c>
      <c r="M272" t="str">
        <f ca="1">IFERROR(__xludf.DUMMYFUNCTION("""COMPUTED_VALUE"""),"12.08.21 05-56")</f>
        <v>12.08.21 05-56</v>
      </c>
      <c r="N272" t="str">
        <f ca="1">IFERROR(__xludf.DUMMYFUNCTION("""COMPUTED_VALUE"""),"01 ПРИБ")</f>
        <v>01 ПРИБ</v>
      </c>
      <c r="O272">
        <f ca="1">IFERROR(__xludf.DUMMYFUNCTION("""COMPUTED_VALUE"""),34850)</f>
        <v>34850</v>
      </c>
      <c r="P272" t="str">
        <f ca="1">IFERROR(__xludf.DUMMYFUNCTION("""COMPUTED_VALUE"""),"УШИЦА")</f>
        <v>УШИЦА</v>
      </c>
      <c r="Q272">
        <f ca="1">IFERROR(__xludf.DUMMYFUNCTION("""COMPUTED_VALUE"""),49870)</f>
        <v>49870</v>
      </c>
      <c r="R272" t="str">
        <f ca="1">IFERROR(__xludf.DUMMYFUNCTION("""COMPUTED_VALUE"""),"РУБЕЖНОЕ")</f>
        <v>РУБЕЖНОЕ</v>
      </c>
      <c r="S272" t="str">
        <f ca="1">IFERROR(__xludf.DUMMYFUNCTION("""COMPUTED_VALUE"""),"06.08.21 20-40")</f>
        <v>06.08.21 20-40</v>
      </c>
      <c r="T272">
        <f ca="1">IFERROR(__xludf.DUMMYFUNCTION("""COMPUTED_VALUE"""),2992)</f>
        <v>2992</v>
      </c>
      <c r="U272" t="str">
        <f ca="1">IFERROR(__xludf.DUMMYFUNCTION("""COMPUTED_VALUE"""),"11.05.2022 ДР")</f>
        <v>11.05.2022 ДР</v>
      </c>
      <c r="Z272" t="str">
        <f ca="1">IFERROR(__xludf.DUMMYFUNCTION("""COMPUTED_VALUE"""),"ООО «ГАЛИЦКАЯ ЛОГИСТИЧЕСКАЯ КОМПАНИЯ»")</f>
        <v>ООО «ГАЛИЦКАЯ ЛОГИСТИЧЕСКАЯ КОМПАНИЯ»</v>
      </c>
      <c r="AA272" t="str">
        <f ca="1">IFERROR(__xludf.DUMMYFUNCTION("""COMPUTED_VALUE"""),"12-757")</f>
        <v>12-757</v>
      </c>
      <c r="AB272" t="str">
        <f ca="1">IFERROR(__xludf.DUMMYFUNCTION("""COMPUTED_VALUE"""),"35 ЛЬВ")</f>
        <v>35 ЛЬВ</v>
      </c>
      <c r="AC272" t="str">
        <f ca="1">IFERROR(__xludf.DUMMYFUNCTION("""COMPUTED_VALUE"""),"36000 ТЕРНОПОЛЬ")</f>
        <v>36000 ТЕРНОПОЛЬ</v>
      </c>
      <c r="AD272" t="str">
        <f ca="1">IFERROR(__xludf.DUMMYFUNCTION("""COMPUTED_VALUE"""),"20.06.21 20-00")</f>
        <v>20.06.21 20-00</v>
      </c>
      <c r="AE272" t="str">
        <f ca="1">IFERROR(__xludf.DUMMYFUNCTION("""COMPUTED_VALUE"""),"440 OCЛAБЛЕНИЕ КPEПЛЕНИЯ ТPУБ ВОЗДУХОПРОВОДА И ТОРМОЗНЫХ ПРИБОРОВ")</f>
        <v>440 OCЛAБЛЕНИЕ КPEПЛЕНИЯ ТPУБ ВОЗДУХОПРОВОДА И ТОРМОЗНЫХ ПРИБОРОВ</v>
      </c>
      <c r="AF272" t="str">
        <f ca="1">IFERROR(__xludf.DUMMYFUNCTION("""COMPUTED_VALUE"""),"35 ЛЬВ")</f>
        <v>35 ЛЬВ</v>
      </c>
      <c r="AG272" t="str">
        <f ca="1">IFERROR(__xludf.DUMMYFUNCTION("""COMPUTED_VALUE"""),"36000 ТЕРНОПОЛЬ")</f>
        <v>36000 ТЕРНОПОЛЬ</v>
      </c>
      <c r="AH272" t="str">
        <f ca="1">IFERROR(__xludf.DUMMYFUNCTION("""COMPUTED_VALUE"""),"21.06.21 15-00")</f>
        <v>21.06.21 15-00</v>
      </c>
      <c r="AI272" s="21">
        <f ca="1">IFERROR(__xludf.DUMMYFUNCTION("""COMPUTED_VALUE"""),44420.357662037)</f>
        <v>44420.357662037</v>
      </c>
    </row>
    <row r="273" spans="1:35" ht="13" x14ac:dyDescent="0.15">
      <c r="A273">
        <f ca="1">IFERROR(__xludf.DUMMYFUNCTION("""COMPUTED_VALUE"""),1108)</f>
        <v>1108</v>
      </c>
      <c r="B273" t="str">
        <f ca="1">IFERROR(__xludf.DUMMYFUNCTION("""COMPUTED_VALUE"""),"Агрохимресурс")</f>
        <v>Агрохимресурс</v>
      </c>
      <c r="C273" t="str">
        <f ca="1">IFERROR(__xludf.DUMMYFUNCTION("""COMPUTED_VALUE"""),"Галицька Логістична Компанія ")</f>
        <v xml:space="preserve">Галицька Логістична Компанія </v>
      </c>
      <c r="D273">
        <f ca="1">IFERROR(__xludf.DUMMYFUNCTION("""COMPUTED_VALUE"""),56936016)</f>
        <v>56936016</v>
      </c>
      <c r="E273" t="str">
        <f ca="1">IFERROR(__xludf.DUMMYFUNCTION("""COMPUTED_VALUE"""),"60 ПОЛУВАГОНЫ")</f>
        <v>60 ПОЛУВАГОНЫ</v>
      </c>
      <c r="F273">
        <f ca="1">IFERROR(__xludf.DUMMYFUNCTION("""COMPUTED_VALUE"""),42103)</f>
        <v>42103</v>
      </c>
      <c r="G273" t="str">
        <f ca="1">IFERROR(__xludf.DUMMYFUNCTION("""COMPUTED_VALUE"""),"ВАГОНЫ ЖД СВ")</f>
        <v>ВАГОНЫ ЖД СВ</v>
      </c>
      <c r="H273">
        <f ca="1">IFERROR(__xludf.DUMMYFUNCTION("""COMPUTED_VALUE"""),0)</f>
        <v>0</v>
      </c>
      <c r="I273">
        <f ca="1">IFERROR(__xludf.DUMMYFUNCTION("""COMPUTED_VALUE"""),4165)</f>
        <v>4165</v>
      </c>
      <c r="J273" t="str">
        <f ca="1">IFERROR(__xludf.DUMMYFUNCTION("""COMPUTED_VALUE"""),"3401 (49000-241-44020) ЛИМАН - ОСНОВА")</f>
        <v>3401 (49000-241-44020) ЛИМАН - ОСНОВА</v>
      </c>
      <c r="K273">
        <f ca="1">IFERROR(__xludf.DUMMYFUNCTION("""COMPUTED_VALUE"""),49000)</f>
        <v>49000</v>
      </c>
      <c r="L273" t="str">
        <f ca="1">IFERROR(__xludf.DUMMYFUNCTION("""COMPUTED_VALUE"""),"ЛИМАН")</f>
        <v>ЛИМАН</v>
      </c>
      <c r="M273" t="str">
        <f ca="1">IFERROR(__xludf.DUMMYFUNCTION("""COMPUTED_VALUE"""),"11.08.21 19-15")</f>
        <v>11.08.21 19-15</v>
      </c>
      <c r="N273" t="str">
        <f ca="1">IFERROR(__xludf.DUMMYFUNCTION("""COMPUTED_VALUE"""),"05 ФОРМ")</f>
        <v>05 ФОРМ</v>
      </c>
      <c r="O273">
        <f ca="1">IFERROR(__xludf.DUMMYFUNCTION("""COMPUTED_VALUE"""),32430)</f>
        <v>32430</v>
      </c>
      <c r="P273" t="str">
        <f ca="1">IFERROR(__xludf.DUMMYFUNCTION("""COMPUTED_VALUE"""),"ГОЛУБИЧИ")</f>
        <v>ГОЛУБИЧИ</v>
      </c>
      <c r="Q273">
        <f ca="1">IFERROR(__xludf.DUMMYFUNCTION("""COMPUTED_VALUE"""),49090)</f>
        <v>49090</v>
      </c>
      <c r="R273" t="str">
        <f ca="1">IFERROR(__xludf.DUMMYFUNCTION("""COMPUTED_VALUE"""),"ФЕНОЛЬНАЯ")</f>
        <v>ФЕНОЛЬНАЯ</v>
      </c>
      <c r="S273" t="str">
        <f ca="1">IFERROR(__xludf.DUMMYFUNCTION("""COMPUTED_VALUE"""),"10.08.21 13-25")</f>
        <v>10.08.21 13-25</v>
      </c>
      <c r="T273">
        <f ca="1">IFERROR(__xludf.DUMMYFUNCTION("""COMPUTED_VALUE"""),2120)</f>
        <v>2120</v>
      </c>
      <c r="U273" t="str">
        <f ca="1">IFERROR(__xludf.DUMMYFUNCTION("""COMPUTED_VALUE"""),"30.05.2022 ДР")</f>
        <v>30.05.2022 ДР</v>
      </c>
      <c r="Z273" t="str">
        <f ca="1">IFERROR(__xludf.DUMMYFUNCTION("""COMPUTED_VALUE"""),"ООО «ГАЛИЦКАЯ ЛОГИСТИЧЕСКАЯ КОМПАНИЯ»")</f>
        <v>ООО «ГАЛИЦКАЯ ЛОГИСТИЧЕСКАЯ КОМПАНИЯ»</v>
      </c>
      <c r="AA273" t="str">
        <f ca="1">IFERROR(__xludf.DUMMYFUNCTION("""COMPUTED_VALUE"""),"12-757")</f>
        <v>12-757</v>
      </c>
      <c r="AB273" t="str">
        <f ca="1">IFERROR(__xludf.DUMMYFUNCTION("""COMPUTED_VALUE"""),"35 ЛЬВ")</f>
        <v>35 ЛЬВ</v>
      </c>
      <c r="AC273" t="str">
        <f ca="1">IFERROR(__xludf.DUMMYFUNCTION("""COMPUTED_VALUE"""),"35550 САРНЫ")</f>
        <v>35550 САРНЫ</v>
      </c>
      <c r="AD273" t="str">
        <f ca="1">IFERROR(__xludf.DUMMYFUNCTION("""COMPUTED_VALUE"""),"13.08.20 09-45")</f>
        <v>13.08.20 09-45</v>
      </c>
      <c r="AE273" t="str">
        <f ca="1">IFERROR(__xludf.DUMMYFUNCTION("""COMPUTED_VALUE"""),"540 НEИCПPAВНOCТЬ ЗAПOPA ЛЮКA")</f>
        <v>540 НEИCПPAВНOCТЬ ЗAПOPA ЛЮКA</v>
      </c>
      <c r="AF273" t="str">
        <f ca="1">IFERROR(__xludf.DUMMYFUNCTION("""COMPUTED_VALUE"""),"35 ЛЬВ")</f>
        <v>35 ЛЬВ</v>
      </c>
      <c r="AG273" t="str">
        <f ca="1">IFERROR(__xludf.DUMMYFUNCTION("""COMPUTED_VALUE"""),"35550 САРНЫ")</f>
        <v>35550 САРНЫ</v>
      </c>
      <c r="AH273" t="str">
        <f ca="1">IFERROR(__xludf.DUMMYFUNCTION("""COMPUTED_VALUE"""),"14.08.20 15-20")</f>
        <v>14.08.20 15-20</v>
      </c>
      <c r="AI273" s="21">
        <f ca="1">IFERROR(__xludf.DUMMYFUNCTION("""COMPUTED_VALUE"""),44420.357662037)</f>
        <v>44420.357662037</v>
      </c>
    </row>
    <row r="274" spans="1:35" ht="13" x14ac:dyDescent="0.15">
      <c r="A274">
        <f ca="1">IFERROR(__xludf.DUMMYFUNCTION("""COMPUTED_VALUE"""),1109)</f>
        <v>1109</v>
      </c>
      <c r="B274" t="str">
        <f ca="1">IFERROR(__xludf.DUMMYFUNCTION("""COMPUTED_VALUE"""),"Лидер")</f>
        <v>Лидер</v>
      </c>
      <c r="C274" t="str">
        <f ca="1">IFERROR(__xludf.DUMMYFUNCTION("""COMPUTED_VALUE"""),"Галицька Логістична Компанія ")</f>
        <v xml:space="preserve">Галицька Логістична Компанія </v>
      </c>
      <c r="D274">
        <f ca="1">IFERROR(__xludf.DUMMYFUNCTION("""COMPUTED_VALUE"""),59182121)</f>
        <v>59182121</v>
      </c>
      <c r="E274" t="str">
        <f ca="1">IFERROR(__xludf.DUMMYFUNCTION("""COMPUTED_VALUE"""),"60 ПОЛУВАГОНЫ")</f>
        <v>60 ПОЛУВАГОНЫ</v>
      </c>
      <c r="F274">
        <f ca="1">IFERROR(__xludf.DUMMYFUNCTION("""COMPUTED_VALUE"""),23239)</f>
        <v>23239</v>
      </c>
      <c r="G274" t="str">
        <f ca="1">IFERROR(__xludf.DUMMYFUNCTION("""COMPUTED_VALUE"""),"ЩЕБЕНЬ ГРАНИТ")</f>
        <v>ЩЕБЕНЬ ГРАНИТ</v>
      </c>
      <c r="H274">
        <f ca="1">IFERROR(__xludf.DUMMYFUNCTION("""COMPUTED_VALUE"""),69)</f>
        <v>69</v>
      </c>
      <c r="I274">
        <f ca="1">IFERROR(__xludf.DUMMYFUNCTION("""COMPUTED_VALUE"""),5133)</f>
        <v>5133</v>
      </c>
      <c r="J274" t="str">
        <f ca="1">IFERROR(__xludf.DUMMYFUNCTION("""COMPUTED_VALUE"""),"3893 (36000-061-36240) ТЕРНОПОЛЬ - КОЗОВА")</f>
        <v>3893 (36000-061-36240) ТЕРНОПОЛЬ - КОЗОВА</v>
      </c>
      <c r="K274">
        <f ca="1">IFERROR(__xludf.DUMMYFUNCTION("""COMPUTED_VALUE"""),36240)</f>
        <v>36240</v>
      </c>
      <c r="L274" t="str">
        <f ca="1">IFERROR(__xludf.DUMMYFUNCTION("""COMPUTED_VALUE"""),"КОЗОВА")</f>
        <v>КОЗОВА</v>
      </c>
      <c r="M274" t="str">
        <f ca="1">IFERROR(__xludf.DUMMYFUNCTION("""COMPUTED_VALUE"""),"11.08.21 21-00")</f>
        <v>11.08.21 21-00</v>
      </c>
      <c r="N274" t="str">
        <f ca="1">IFERROR(__xludf.DUMMYFUNCTION("""COMPUTED_VALUE"""),"04 РАСФ")</f>
        <v>04 РАСФ</v>
      </c>
      <c r="O274">
        <f ca="1">IFERROR(__xludf.DUMMYFUNCTION("""COMPUTED_VALUE"""),36240)</f>
        <v>36240</v>
      </c>
      <c r="P274" t="str">
        <f ca="1">IFERROR(__xludf.DUMMYFUNCTION("""COMPUTED_VALUE"""),"КОЗОВА")</f>
        <v>КОЗОВА</v>
      </c>
      <c r="Q274">
        <f ca="1">IFERROR(__xludf.DUMMYFUNCTION("""COMPUTED_VALUE"""),34850)</f>
        <v>34850</v>
      </c>
      <c r="R274" t="str">
        <f ca="1">IFERROR(__xludf.DUMMYFUNCTION("""COMPUTED_VALUE"""),"УШИЦА")</f>
        <v>УШИЦА</v>
      </c>
      <c r="S274" t="str">
        <f ca="1">IFERROR(__xludf.DUMMYFUNCTION("""COMPUTED_VALUE"""),"08.08.21 14-40")</f>
        <v>08.08.21 14-40</v>
      </c>
      <c r="T274">
        <f ca="1">IFERROR(__xludf.DUMMYFUNCTION("""COMPUTED_VALUE"""),7052)</f>
        <v>7052</v>
      </c>
      <c r="U274" t="str">
        <f ca="1">IFERROR(__xludf.DUMMYFUNCTION("""COMPUTED_VALUE"""),"22.08.2022 ДР")</f>
        <v>22.08.2022 ДР</v>
      </c>
      <c r="Z274" t="str">
        <f ca="1">IFERROR(__xludf.DUMMYFUNCTION("""COMPUTED_VALUE"""),"ООО «ГАЛИЦКАЯ ЛОГИСТИЧЕСКАЯ КОМПАНИЯ»")</f>
        <v>ООО «ГАЛИЦКАЯ ЛОГИСТИЧЕСКАЯ КОМПАНИЯ»</v>
      </c>
      <c r="AA274" t="str">
        <f ca="1">IFERROR(__xludf.DUMMYFUNCTION("""COMPUTED_VALUE"""),"12-532")</f>
        <v>12-532</v>
      </c>
      <c r="AB274" t="str">
        <f ca="1">IFERROR(__xludf.DUMMYFUNCTION("""COMPUTED_VALUE"""),"43 ЮЖН")</f>
        <v>43 ЮЖН</v>
      </c>
      <c r="AC274" t="str">
        <f ca="1">IFERROR(__xludf.DUMMYFUNCTION("""COMPUTED_VALUE"""),"44020 ОСНОВА")</f>
        <v>44020 ОСНОВА</v>
      </c>
      <c r="AD274" t="str">
        <f ca="1">IFERROR(__xludf.DUMMYFUNCTION("""COMPUTED_VALUE"""),"28.03.20 17-30")</f>
        <v>28.03.20 17-30</v>
      </c>
      <c r="AE274" t="str">
        <f ca="1">IFERROR(__xludf.DUMMYFUNCTION("""COMPUTED_VALUE"""),"902 OТCТAНOВКA ПO УКAЗAНИЮ ЖEЛЕЗНОДОРОЖНОЙ АДМИНИСТРАЦИИ")</f>
        <v>902 OТCТAНOВКA ПO УКAЗAНИЮ ЖEЛЕЗНОДОРОЖНОЙ АДМИНИСТРАЦИИ</v>
      </c>
      <c r="AF274" t="str">
        <f ca="1">IFERROR(__xludf.DUMMYFUNCTION("""COMPUTED_VALUE"""),"43 ЮЖН")</f>
        <v>43 ЮЖН</v>
      </c>
      <c r="AG274" t="str">
        <f ca="1">IFERROR(__xludf.DUMMYFUNCTION("""COMPUTED_VALUE"""),"44020 ОСНОВА")</f>
        <v>44020 ОСНОВА</v>
      </c>
      <c r="AH274" t="str">
        <f ca="1">IFERROR(__xludf.DUMMYFUNCTION("""COMPUTED_VALUE"""),"30.03.20 18-00")</f>
        <v>30.03.20 18-00</v>
      </c>
      <c r="AI274" s="21">
        <f ca="1">IFERROR(__xludf.DUMMYFUNCTION("""COMPUTED_VALUE"""),44420.357662037)</f>
        <v>44420.357662037</v>
      </c>
    </row>
    <row r="275" spans="1:35" ht="13" x14ac:dyDescent="0.15">
      <c r="A275">
        <f ca="1">IFERROR(__xludf.DUMMYFUNCTION("""COMPUTED_VALUE"""),1110)</f>
        <v>1110</v>
      </c>
      <c r="B275" t="str">
        <f ca="1">IFERROR(__xludf.DUMMYFUNCTION("""COMPUTED_VALUE"""),"Лидер")</f>
        <v>Лидер</v>
      </c>
      <c r="C275" t="str">
        <f ca="1">IFERROR(__xludf.DUMMYFUNCTION("""COMPUTED_VALUE"""),"Галицька Логістична Компанія ")</f>
        <v xml:space="preserve">Галицька Логістична Компанія </v>
      </c>
      <c r="D275">
        <f ca="1">IFERROR(__xludf.DUMMYFUNCTION("""COMPUTED_VALUE"""),52798774)</f>
        <v>52798774</v>
      </c>
      <c r="E275" t="str">
        <f ca="1">IFERROR(__xludf.DUMMYFUNCTION("""COMPUTED_VALUE"""),"60 ПОЛУВАГОНЫ")</f>
        <v>60 ПОЛУВАГОНЫ</v>
      </c>
      <c r="F275">
        <f ca="1">IFERROR(__xludf.DUMMYFUNCTION("""COMPUTED_VALUE"""),42103)</f>
        <v>42103</v>
      </c>
      <c r="G275" t="str">
        <f ca="1">IFERROR(__xludf.DUMMYFUNCTION("""COMPUTED_VALUE"""),"ВАГОНЫ ЖД СВ")</f>
        <v>ВАГОНЫ ЖД СВ</v>
      </c>
      <c r="H275">
        <f ca="1">IFERROR(__xludf.DUMMYFUNCTION("""COMPUTED_VALUE"""),0)</f>
        <v>0</v>
      </c>
      <c r="I275">
        <f ca="1">IFERROR(__xludf.DUMMYFUNCTION("""COMPUTED_VALUE"""),7052)</f>
        <v>7052</v>
      </c>
      <c r="J275" t="str">
        <f ca="1">IFERROR(__xludf.DUMMYFUNCTION("""COMPUTED_VALUE"""),"3502 (34630-492-34850) КОРОСТЕНЬ - УШИЦА")</f>
        <v>3502 (34630-492-34850) КОРОСТЕНЬ - УШИЦА</v>
      </c>
      <c r="K275">
        <f ca="1">IFERROR(__xludf.DUMMYFUNCTION("""COMPUTED_VALUE"""),34640)</f>
        <v>34640</v>
      </c>
      <c r="L275" t="str">
        <f ca="1">IFERROR(__xludf.DUMMYFUNCTION("""COMPUTED_VALUE"""),"КОРОСТ-ПОДОЛ")</f>
        <v>КОРОСТ-ПОДОЛ</v>
      </c>
      <c r="M275" t="str">
        <f ca="1">IFERROR(__xludf.DUMMYFUNCTION("""COMPUTED_VALUE"""),"12.08.21 05-56")</f>
        <v>12.08.21 05-56</v>
      </c>
      <c r="N275" t="str">
        <f ca="1">IFERROR(__xludf.DUMMYFUNCTION("""COMPUTED_VALUE"""),"01 ПРИБ")</f>
        <v>01 ПРИБ</v>
      </c>
      <c r="O275">
        <f ca="1">IFERROR(__xludf.DUMMYFUNCTION("""COMPUTED_VALUE"""),34850)</f>
        <v>34850</v>
      </c>
      <c r="P275" t="str">
        <f ca="1">IFERROR(__xludf.DUMMYFUNCTION("""COMPUTED_VALUE"""),"УШИЦА")</f>
        <v>УШИЦА</v>
      </c>
      <c r="Q275">
        <f ca="1">IFERROR(__xludf.DUMMYFUNCTION("""COMPUTED_VALUE"""),49870)</f>
        <v>49870</v>
      </c>
      <c r="R275" t="str">
        <f ca="1">IFERROR(__xludf.DUMMYFUNCTION("""COMPUTED_VALUE"""),"РУБЕЖНОЕ")</f>
        <v>РУБЕЖНОЕ</v>
      </c>
      <c r="S275" t="str">
        <f ca="1">IFERROR(__xludf.DUMMYFUNCTION("""COMPUTED_VALUE"""),"06.08.21 20-40")</f>
        <v>06.08.21 20-40</v>
      </c>
      <c r="T275">
        <f ca="1">IFERROR(__xludf.DUMMYFUNCTION("""COMPUTED_VALUE"""),2992)</f>
        <v>2992</v>
      </c>
      <c r="U275" t="str">
        <f ca="1">IFERROR(__xludf.DUMMYFUNCTION("""COMPUTED_VALUE"""),"22.08.2022 ДР")</f>
        <v>22.08.2022 ДР</v>
      </c>
      <c r="Z275" t="str">
        <f ca="1">IFERROR(__xludf.DUMMYFUNCTION("""COMPUTED_VALUE"""),"ООО «ГАЛИЦКАЯ ЛОГИСТИЧЕСКАЯ КОМПАНИЯ»")</f>
        <v>ООО «ГАЛИЦКАЯ ЛОГИСТИЧЕСКАЯ КОМПАНИЯ»</v>
      </c>
      <c r="AA275" t="str">
        <f ca="1">IFERROR(__xludf.DUMMYFUNCTION("""COMPUTED_VALUE"""),"12-757")</f>
        <v>12-757</v>
      </c>
      <c r="AB275" t="str">
        <f ca="1">IFERROR(__xludf.DUMMYFUNCTION("""COMPUTED_VALUE"""),"48 ДОН")</f>
        <v>48 ДОН</v>
      </c>
      <c r="AC275" t="str">
        <f ca="1">IFERROR(__xludf.DUMMYFUNCTION("""COMPUTED_VALUE"""),"49480 СОЛЬ")</f>
        <v>49480 СОЛЬ</v>
      </c>
      <c r="AD275" t="str">
        <f ca="1">IFERROR(__xludf.DUMMYFUNCTION("""COMPUTED_VALUE"""),"16.04.21 04-50")</f>
        <v>16.04.21 04-50</v>
      </c>
      <c r="AE275" t="str">
        <f ca="1">IFERROR(__xludf.DUMMYFUNCTION("""COMPUTED_VALUE"""),"540 НEИCПPAВНOCТЬ ЗAПOPA ЛЮКA")</f>
        <v>540 НEИCПPAВНOCТЬ ЗAПOPA ЛЮКA</v>
      </c>
      <c r="AF275" t="str">
        <f ca="1">IFERROR(__xludf.DUMMYFUNCTION("""COMPUTED_VALUE"""),"48 ДОН")</f>
        <v>48 ДОН</v>
      </c>
      <c r="AG275" t="str">
        <f ca="1">IFERROR(__xludf.DUMMYFUNCTION("""COMPUTED_VALUE"""),"49480 СОЛЬ")</f>
        <v>49480 СОЛЬ</v>
      </c>
      <c r="AH275" t="str">
        <f ca="1">IFERROR(__xludf.DUMMYFUNCTION("""COMPUTED_VALUE"""),"17.04.21 12-30")</f>
        <v>17.04.21 12-30</v>
      </c>
      <c r="AI275" s="21">
        <f ca="1">IFERROR(__xludf.DUMMYFUNCTION("""COMPUTED_VALUE"""),44420.357662037)</f>
        <v>44420.357662037</v>
      </c>
    </row>
    <row r="276" spans="1:35" ht="13" x14ac:dyDescent="0.15">
      <c r="A276">
        <f ca="1">IFERROR(__xludf.DUMMYFUNCTION("""COMPUTED_VALUE"""),1111)</f>
        <v>1111</v>
      </c>
      <c r="B276" t="str">
        <f ca="1">IFERROR(__xludf.DUMMYFUNCTION("""COMPUTED_VALUE"""),"Техрейс")</f>
        <v>Техрейс</v>
      </c>
      <c r="C276" t="str">
        <f ca="1">IFERROR(__xludf.DUMMYFUNCTION("""COMPUTED_VALUE"""),"Галицька Логістична Компанія ")</f>
        <v xml:space="preserve">Галицька Логістична Компанія </v>
      </c>
      <c r="D276">
        <f ca="1">IFERROR(__xludf.DUMMYFUNCTION("""COMPUTED_VALUE"""),55066682)</f>
        <v>55066682</v>
      </c>
      <c r="E276" t="str">
        <f ca="1">IFERROR(__xludf.DUMMYFUNCTION("""COMPUTED_VALUE"""),"60 ПОЛУВАГОНЫ")</f>
        <v>60 ПОЛУВАГОНЫ</v>
      </c>
      <c r="F276">
        <f ca="1">IFERROR(__xludf.DUMMYFUNCTION("""COMPUTED_VALUE"""),14109)</f>
        <v>14109</v>
      </c>
      <c r="G276" t="str">
        <f ca="1">IFERROR(__xludf.DUMMYFUNCTION("""COMPUTED_VALUE"""),"ГЕМАТИТ")</f>
        <v>ГЕМАТИТ</v>
      </c>
      <c r="H276">
        <f ca="1">IFERROR(__xludf.DUMMYFUNCTION("""COMPUTED_VALUE"""),69)</f>
        <v>69</v>
      </c>
      <c r="I276">
        <f ca="1">IFERROR(__xludf.DUMMYFUNCTION("""COMPUTED_VALUE"""),5786)</f>
        <v>5786</v>
      </c>
      <c r="J276" t="str">
        <f ca="1">IFERROR(__xludf.DUMMYFUNCTION("""COMPUTED_VALUE"""),"1615 (46720-457-40060) КРИВОЙ РОГ - БЕРЕГОВАЯ-Э")</f>
        <v>1615 (46720-457-40060) КРИВОЙ РОГ - БЕРЕГОВАЯ-Э</v>
      </c>
      <c r="K276">
        <f ca="1">IFERROR(__xludf.DUMMYFUNCTION("""COMPUTED_VALUE"""),46800)</f>
        <v>46800</v>
      </c>
      <c r="L276" t="str">
        <f ca="1">IFERROR(__xludf.DUMMYFUNCTION("""COMPUTED_VALUE"""),"ВИСУНЬ")</f>
        <v>ВИСУНЬ</v>
      </c>
      <c r="M276" t="str">
        <f ca="1">IFERROR(__xludf.DUMMYFUNCTION("""COMPUTED_VALUE"""),"12.08.21 08-15")</f>
        <v>12.08.21 08-15</v>
      </c>
      <c r="N276" t="str">
        <f ca="1">IFERROR(__xludf.DUMMYFUNCTION("""COMPUTED_VALUE"""),"02 ОТПР")</f>
        <v>02 ОТПР</v>
      </c>
      <c r="O276">
        <f ca="1">IFERROR(__xludf.DUMMYFUNCTION("""COMPUTED_VALUE"""),40060)</f>
        <v>40060</v>
      </c>
      <c r="P276" t="str">
        <f ca="1">IFERROR(__xludf.DUMMYFUNCTION("""COMPUTED_VALUE"""),"БЕРЕГОВАЯ-Э")</f>
        <v>БЕРЕГОВАЯ-Э</v>
      </c>
      <c r="Q276">
        <f ca="1">IFERROR(__xludf.DUMMYFUNCTION("""COMPUTED_VALUE"""),46720)</f>
        <v>46720</v>
      </c>
      <c r="R276" t="str">
        <f ca="1">IFERROR(__xludf.DUMMYFUNCTION("""COMPUTED_VALUE"""),"КРИВОЙ РОГ")</f>
        <v>КРИВОЙ РОГ</v>
      </c>
      <c r="S276" t="str">
        <f ca="1">IFERROR(__xludf.DUMMYFUNCTION("""COMPUTED_VALUE"""),"11.08.21 18-30")</f>
        <v>11.08.21 18-30</v>
      </c>
      <c r="T276">
        <f ca="1">IFERROR(__xludf.DUMMYFUNCTION("""COMPUTED_VALUE"""),5343)</f>
        <v>5343</v>
      </c>
      <c r="U276" t="str">
        <f ca="1">IFERROR(__xludf.DUMMYFUNCTION("""COMPUTED_VALUE"""),"07.03.2023 ДР")</f>
        <v>07.03.2023 ДР</v>
      </c>
      <c r="Z276" t="str">
        <f ca="1">IFERROR(__xludf.DUMMYFUNCTION("""COMPUTED_VALUE"""),"ООО «ГАЛИЦКАЯ ЛОГИСТИЧЕСКАЯ КОМПАНИЯ»")</f>
        <v>ООО «ГАЛИЦКАЯ ЛОГИСТИЧЕСКАЯ КОМПАНИЯ»</v>
      </c>
      <c r="AA276" t="str">
        <f ca="1">IFERROR(__xludf.DUMMYFUNCTION("""COMPUTED_VALUE"""),"12-753")</f>
        <v>12-753</v>
      </c>
      <c r="AB276" t="str">
        <f ca="1">IFERROR(__xludf.DUMMYFUNCTION("""COMPUTED_VALUE"""),"40 ОД")</f>
        <v>40 ОД</v>
      </c>
      <c r="AC276" t="str">
        <f ca="1">IFERROR(__xludf.DUMMYFUNCTION("""COMPUTED_VALUE"""),"41190 ПОМОШНАЯ")</f>
        <v>41190 ПОМОШНАЯ</v>
      </c>
      <c r="AD276" t="str">
        <f ca="1">IFERROR(__xludf.DUMMYFUNCTION("""COMPUTED_VALUE"""),"22.02.20 14-05")</f>
        <v>22.02.20 14-05</v>
      </c>
      <c r="AE276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6" t="str">
        <f ca="1">IFERROR(__xludf.DUMMYFUNCTION("""COMPUTED_VALUE"""),"40 ОД")</f>
        <v>40 ОД</v>
      </c>
      <c r="AG276" t="str">
        <f ca="1">IFERROR(__xludf.DUMMYFUNCTION("""COMPUTED_VALUE"""),"41190 ПОМОШНАЯ")</f>
        <v>41190 ПОМОШНАЯ</v>
      </c>
      <c r="AH276" t="str">
        <f ca="1">IFERROR(__xludf.DUMMYFUNCTION("""COMPUTED_VALUE"""),"07.03.20 17-30")</f>
        <v>07.03.20 17-30</v>
      </c>
      <c r="AI276" s="21">
        <f ca="1">IFERROR(__xludf.DUMMYFUNCTION("""COMPUTED_VALUE"""),44420.357662037)</f>
        <v>44420.357662037</v>
      </c>
    </row>
    <row r="277" spans="1:35" ht="13" x14ac:dyDescent="0.15">
      <c r="A277">
        <f ca="1">IFERROR(__xludf.DUMMYFUNCTION("""COMPUTED_VALUE"""),1112)</f>
        <v>1112</v>
      </c>
      <c r="B277" t="str">
        <f ca="1">IFERROR(__xludf.DUMMYFUNCTION("""COMPUTED_VALUE"""),"Техрейс")</f>
        <v>Техрейс</v>
      </c>
      <c r="C277" t="str">
        <f ca="1">IFERROR(__xludf.DUMMYFUNCTION("""COMPUTED_VALUE"""),"Галицька Логістична Компанія ")</f>
        <v xml:space="preserve">Галицька Логістична Компанія </v>
      </c>
      <c r="D277">
        <f ca="1">IFERROR(__xludf.DUMMYFUNCTION("""COMPUTED_VALUE"""),55066666)</f>
        <v>55066666</v>
      </c>
      <c r="E277" t="str">
        <f ca="1">IFERROR(__xludf.DUMMYFUNCTION("""COMPUTED_VALUE"""),"60 ПОЛУВАГОНЫ")</f>
        <v>60 ПОЛУВАГОНЫ</v>
      </c>
      <c r="F277">
        <f ca="1">IFERROR(__xludf.DUMMYFUNCTION("""COMPUTED_VALUE"""),42103)</f>
        <v>42103</v>
      </c>
      <c r="G277" t="str">
        <f ca="1">IFERROR(__xludf.DUMMYFUNCTION("""COMPUTED_VALUE"""),"ВАГОНЫ ЖД СВ")</f>
        <v>ВАГОНЫ ЖД СВ</v>
      </c>
      <c r="H277">
        <f ca="1">IFERROR(__xludf.DUMMYFUNCTION("""COMPUTED_VALUE"""),0)</f>
        <v>0</v>
      </c>
      <c r="I277">
        <f ca="1">IFERROR(__xludf.DUMMYFUNCTION("""COMPUTED_VALUE"""),4305)</f>
        <v>4305</v>
      </c>
      <c r="J277" t="str">
        <f ca="1">IFERROR(__xludf.DUMMYFUNCTION("""COMPUTED_VALUE"""),"4831 (41000-315-41130) ЗНАМЕНКА - КАНАТОВО")</f>
        <v>4831 (41000-315-41130) ЗНАМЕНКА - КАНАТОВО</v>
      </c>
      <c r="K277">
        <f ca="1">IFERROR(__xludf.DUMMYFUNCTION("""COMPUTED_VALUE"""),41130)</f>
        <v>41130</v>
      </c>
      <c r="L277" t="str">
        <f ca="1">IFERROR(__xludf.DUMMYFUNCTION("""COMPUTED_VALUE"""),"КАНАТОВО")</f>
        <v>КАНАТОВО</v>
      </c>
      <c r="M277" t="str">
        <f ca="1">IFERROR(__xludf.DUMMYFUNCTION("""COMPUTED_VALUE"""),"10.08.21 23-35")</f>
        <v>10.08.21 23-35</v>
      </c>
      <c r="N277" t="str">
        <f ca="1">IFERROR(__xludf.DUMMYFUNCTION("""COMPUTED_VALUE"""),"86 ОДПВ")</f>
        <v>86 ОДПВ</v>
      </c>
      <c r="O277">
        <f ca="1">IFERROR(__xludf.DUMMYFUNCTION("""COMPUTED_VALUE"""),42500)</f>
        <v>42500</v>
      </c>
      <c r="P277" t="str">
        <f ca="1">IFERROR(__xludf.DUMMYFUNCTION("""COMPUTED_VALUE"""),"КРЕМЕНЧУГ")</f>
        <v>КРЕМЕНЧУГ</v>
      </c>
      <c r="Q277">
        <f ca="1">IFERROR(__xludf.DUMMYFUNCTION("""COMPUTED_VALUE"""),41130)</f>
        <v>41130</v>
      </c>
      <c r="R277" t="str">
        <f ca="1">IFERROR(__xludf.DUMMYFUNCTION("""COMPUTED_VALUE"""),"КАНАТОВО")</f>
        <v>КАНАТОВО</v>
      </c>
      <c r="S277" t="str">
        <f ca="1">IFERROR(__xludf.DUMMYFUNCTION("""COMPUTED_VALUE"""),"10.08.21 23-35")</f>
        <v>10.08.21 23-35</v>
      </c>
      <c r="T277">
        <f ca="1">IFERROR(__xludf.DUMMYFUNCTION("""COMPUTED_VALUE"""),8200)</f>
        <v>8200</v>
      </c>
      <c r="U277" t="str">
        <f ca="1">IFERROR(__xludf.DUMMYFUNCTION("""COMPUTED_VALUE"""),"25.04.2023 ДР")</f>
        <v>25.04.2023 ДР</v>
      </c>
      <c r="Z277" t="str">
        <f ca="1">IFERROR(__xludf.DUMMYFUNCTION("""COMPUTED_VALUE"""),"ООО «ГАЛИЦКАЯ ЛОГИСТИЧЕСКАЯ КОМПАНИЯ»")</f>
        <v>ООО «ГАЛИЦКАЯ ЛОГИСТИЧЕСКАЯ КОМПАНИЯ»</v>
      </c>
      <c r="AA277" t="str">
        <f ca="1">IFERROR(__xludf.DUMMYFUNCTION("""COMPUTED_VALUE"""),"12-753")</f>
        <v>12-753</v>
      </c>
      <c r="AB277" t="str">
        <f ca="1">IFERROR(__xludf.DUMMYFUNCTION("""COMPUTED_VALUE"""),"40 ОД")</f>
        <v>40 ОД</v>
      </c>
      <c r="AC277" t="str">
        <f ca="1">IFERROR(__xludf.DUMMYFUNCTION("""COMPUTED_VALUE"""),"41190 ПОМОШНАЯ")</f>
        <v>41190 ПОМОШНАЯ</v>
      </c>
      <c r="AD277" t="str">
        <f ca="1">IFERROR(__xludf.DUMMYFUNCTION("""COMPUTED_VALUE"""),"22.02.20 14-05")</f>
        <v>22.02.20 14-05</v>
      </c>
      <c r="AE277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7" t="str">
        <f ca="1">IFERROR(__xludf.DUMMYFUNCTION("""COMPUTED_VALUE"""),"40 ОД")</f>
        <v>40 ОД</v>
      </c>
      <c r="AG277" t="str">
        <f ca="1">IFERROR(__xludf.DUMMYFUNCTION("""COMPUTED_VALUE"""),"41190 ПОМОШНАЯ")</f>
        <v>41190 ПОМОШНАЯ</v>
      </c>
      <c r="AH277" t="str">
        <f ca="1">IFERROR(__xludf.DUMMYFUNCTION("""COMPUTED_VALUE"""),"25.04.20 17-00")</f>
        <v>25.04.20 17-00</v>
      </c>
      <c r="AI277" s="21">
        <f ca="1">IFERROR(__xludf.DUMMYFUNCTION("""COMPUTED_VALUE"""),44420.357662037)</f>
        <v>44420.357662037</v>
      </c>
    </row>
    <row r="278" spans="1:35" ht="13" x14ac:dyDescent="0.15">
      <c r="A278">
        <f ca="1">IFERROR(__xludf.DUMMYFUNCTION("""COMPUTED_VALUE"""),1113)</f>
        <v>1113</v>
      </c>
      <c r="B278" t="str">
        <f ca="1">IFERROR(__xludf.DUMMYFUNCTION("""COMPUTED_VALUE"""),"Техрейс")</f>
        <v>Техрейс</v>
      </c>
      <c r="C278" t="str">
        <f ca="1">IFERROR(__xludf.DUMMYFUNCTION("""COMPUTED_VALUE"""),"Транспостач Логістик")</f>
        <v>Транспостач Логістик</v>
      </c>
      <c r="D278">
        <f ca="1">IFERROR(__xludf.DUMMYFUNCTION("""COMPUTED_VALUE"""),60564325)</f>
        <v>60564325</v>
      </c>
      <c r="E278" t="str">
        <f ca="1">IFERROR(__xludf.DUMMYFUNCTION("""COMPUTED_VALUE"""),"60 ПОЛУВАГОНЫ")</f>
        <v>60 ПОЛУВАГОНЫ</v>
      </c>
      <c r="F278">
        <f ca="1">IFERROR(__xludf.DUMMYFUNCTION("""COMPUTED_VALUE"""),14109)</f>
        <v>14109</v>
      </c>
      <c r="G278" t="str">
        <f ca="1">IFERROR(__xludf.DUMMYFUNCTION("""COMPUTED_VALUE"""),"ГЕМАТИТ")</f>
        <v>ГЕМАТИТ</v>
      </c>
      <c r="H278">
        <f ca="1">IFERROR(__xludf.DUMMYFUNCTION("""COMPUTED_VALUE"""),71)</f>
        <v>71</v>
      </c>
      <c r="I278">
        <f ca="1">IFERROR(__xludf.DUMMYFUNCTION("""COMPUTED_VALUE"""),5786)</f>
        <v>5786</v>
      </c>
      <c r="J278" t="str">
        <f ca="1">IFERROR(__xludf.DUMMYFUNCTION("""COMPUTED_VALUE"""),"3501 (46720-464-40060) КРИВОЙ РОГ - БЕРЕГОВАЯ-Э")</f>
        <v>3501 (46720-464-40060) КРИВОЙ РОГ - БЕРЕГОВАЯ-Э</v>
      </c>
      <c r="K278">
        <f ca="1">IFERROR(__xludf.DUMMYFUNCTION("""COMPUTED_VALUE"""),46720)</f>
        <v>46720</v>
      </c>
      <c r="L278" t="str">
        <f ca="1">IFERROR(__xludf.DUMMYFUNCTION("""COMPUTED_VALUE"""),"КРИВОЙ РОГ")</f>
        <v>КРИВОЙ РОГ</v>
      </c>
      <c r="M278" t="str">
        <f ca="1">IFERROR(__xludf.DUMMYFUNCTION("""COMPUTED_VALUE"""),"12.08.21 02-46")</f>
        <v>12.08.21 02-46</v>
      </c>
      <c r="N278" t="str">
        <f ca="1">IFERROR(__xludf.DUMMYFUNCTION("""COMPUTED_VALUE"""),"05 ФОРМ")</f>
        <v>05 ФОРМ</v>
      </c>
      <c r="O278">
        <f ca="1">IFERROR(__xludf.DUMMYFUNCTION("""COMPUTED_VALUE"""),40060)</f>
        <v>40060</v>
      </c>
      <c r="P278" t="str">
        <f ca="1">IFERROR(__xludf.DUMMYFUNCTION("""COMPUTED_VALUE"""),"БЕРЕГОВАЯ-Э")</f>
        <v>БЕРЕГОВАЯ-Э</v>
      </c>
      <c r="Q278">
        <f ca="1">IFERROR(__xludf.DUMMYFUNCTION("""COMPUTED_VALUE"""),46720)</f>
        <v>46720</v>
      </c>
      <c r="R278" t="str">
        <f ca="1">IFERROR(__xludf.DUMMYFUNCTION("""COMPUTED_VALUE"""),"КРИВОЙ РОГ")</f>
        <v>КРИВОЙ РОГ</v>
      </c>
      <c r="S278" t="str">
        <f ca="1">IFERROR(__xludf.DUMMYFUNCTION("""COMPUTED_VALUE"""),"12.08.21 02-30")</f>
        <v>12.08.21 02-30</v>
      </c>
      <c r="T278">
        <f ca="1">IFERROR(__xludf.DUMMYFUNCTION("""COMPUTED_VALUE"""),5343)</f>
        <v>5343</v>
      </c>
      <c r="U278" t="str">
        <f ca="1">IFERROR(__xludf.DUMMYFUNCTION("""COMPUTED_VALUE"""),"31.01.2022 ДР")</f>
        <v>31.01.2022 ДР</v>
      </c>
      <c r="Z278" t="str">
        <f ca="1">IFERROR(__xludf.DUMMYFUNCTION("""COMPUTED_VALUE"""),"ООО «ТРАНС ПОСТАЧ ЛОГИСТИК»")</f>
        <v>ООО «ТРАНС ПОСТАЧ ЛОГИСТИК»</v>
      </c>
      <c r="AA278" t="str">
        <f ca="1">IFERROR(__xludf.DUMMYFUNCTION("""COMPUTED_VALUE"""),"12-141")</f>
        <v>12-141</v>
      </c>
      <c r="AB278" t="str">
        <f ca="1">IFERROR(__xludf.DUMMYFUNCTION("""COMPUTED_VALUE"""),"45 ПРИДН")</f>
        <v>45 ПРИДН</v>
      </c>
      <c r="AC278" t="str">
        <f ca="1">IFERROR(__xludf.DUMMYFUNCTION("""COMPUTED_VALUE"""),"47660 ДНЕПРОРУДНАЯ")</f>
        <v>47660 ДНЕПРОРУДНАЯ</v>
      </c>
      <c r="AD278" t="str">
        <f ca="1">IFERROR(__xludf.DUMMYFUNCTION("""COMPUTED_VALUE"""),"06.12.20 01-00")</f>
        <v>06.12.20 01-00</v>
      </c>
      <c r="AE278" t="str">
        <f ca="1">IFERROR(__xludf.DUMMYFUNCTION("""COMPUTED_VALUE"""),"540 НEИCПPAВНOCТЬ ЗAПOPA ЛЮКA")</f>
        <v>540 НEИCПPAВНOCТЬ ЗAПOPA ЛЮКA</v>
      </c>
      <c r="AF278" t="str">
        <f ca="1">IFERROR(__xludf.DUMMYFUNCTION("""COMPUTED_VALUE"""),"45 ПРИДН")</f>
        <v>45 ПРИДН</v>
      </c>
      <c r="AG278" t="str">
        <f ca="1">IFERROR(__xludf.DUMMYFUNCTION("""COMPUTED_VALUE"""),"47660 ДНЕПРОРУДНАЯ")</f>
        <v>47660 ДНЕПРОРУДНАЯ</v>
      </c>
      <c r="AH278" t="str">
        <f ca="1">IFERROR(__xludf.DUMMYFUNCTION("""COMPUTED_VALUE"""),"06.12.20 15-00")</f>
        <v>06.12.20 15-00</v>
      </c>
      <c r="AI278" s="21">
        <f ca="1">IFERROR(__xludf.DUMMYFUNCTION("""COMPUTED_VALUE"""),44420.357662037)</f>
        <v>44420.357662037</v>
      </c>
    </row>
    <row r="279" spans="1:35" ht="13" x14ac:dyDescent="0.15">
      <c r="A279">
        <f ca="1">IFERROR(__xludf.DUMMYFUNCTION("""COMPUTED_VALUE"""),1114)</f>
        <v>1114</v>
      </c>
      <c r="B279" t="str">
        <f ca="1">IFERROR(__xludf.DUMMYFUNCTION("""COMPUTED_VALUE"""),"Техрейс")</f>
        <v>Техрейс</v>
      </c>
      <c r="C279" t="str">
        <f ca="1">IFERROR(__xludf.DUMMYFUNCTION("""COMPUTED_VALUE"""),"Укрвагонпостач")</f>
        <v>Укрвагонпостач</v>
      </c>
      <c r="D279">
        <f ca="1">IFERROR(__xludf.DUMMYFUNCTION("""COMPUTED_VALUE"""),60022860)</f>
        <v>60022860</v>
      </c>
      <c r="E279" t="str">
        <f ca="1">IFERROR(__xludf.DUMMYFUNCTION("""COMPUTED_VALUE"""),"60 ПОЛУВАГОНЫ")</f>
        <v>60 ПОЛУВАГОНЫ</v>
      </c>
      <c r="F279">
        <f ca="1">IFERROR(__xludf.DUMMYFUNCTION("""COMPUTED_VALUE"""),16120)</f>
        <v>16120</v>
      </c>
      <c r="G279" t="str">
        <f ca="1">IFERROR(__xludf.DUMMYFUNCTION("""COMPUTED_VALUE"""),"УГОЛЬ КАМЕН ПР")</f>
        <v>УГОЛЬ КАМЕН ПР</v>
      </c>
      <c r="H279">
        <f ca="1">IFERROR(__xludf.DUMMYFUNCTION("""COMPUTED_VALUE"""),70)</f>
        <v>70</v>
      </c>
      <c r="I279">
        <f ca="1">IFERROR(__xludf.DUMMYFUNCTION("""COMPUTED_VALUE"""),7253)</f>
        <v>7253</v>
      </c>
      <c r="J279" t="str">
        <f ca="1">IFERROR(__xludf.DUMMYFUNCTION("""COMPUTED_VALUE"""),"2818 (40110-068-45000) ЧЕРНОМОРСКАЯ - НИЖНЕДН-УЗЕЛ")</f>
        <v>2818 (40110-068-45000) ЧЕРНОМОРСКАЯ - НИЖНЕДН-УЗЕЛ</v>
      </c>
      <c r="K279">
        <f ca="1">IFERROR(__xludf.DUMMYFUNCTION("""COMPUTED_VALUE"""),45000)</f>
        <v>45000</v>
      </c>
      <c r="L279" t="str">
        <f ca="1">IFERROR(__xludf.DUMMYFUNCTION("""COMPUTED_VALUE"""),"НИЖНЕДН-УЗЕЛ")</f>
        <v>НИЖНЕДН-УЗЕЛ</v>
      </c>
      <c r="M279" t="str">
        <f ca="1">IFERROR(__xludf.DUMMYFUNCTION("""COMPUTED_VALUE"""),"12.08.21 03-25")</f>
        <v>12.08.21 03-25</v>
      </c>
      <c r="N279" t="str">
        <f ca="1">IFERROR(__xludf.DUMMYFUNCTION("""COMPUTED_VALUE"""),"04 РАСФ")</f>
        <v>04 РАСФ</v>
      </c>
      <c r="O279">
        <f ca="1">IFERROR(__xludf.DUMMYFUNCTION("""COMPUTED_VALUE"""),48280)</f>
        <v>48280</v>
      </c>
      <c r="P279" t="str">
        <f ca="1">IFERROR(__xludf.DUMMYFUNCTION("""COMPUTED_VALUE"""),"АВДЕЕВКА")</f>
        <v>АВДЕЕВКА</v>
      </c>
      <c r="Q279">
        <f ca="1">IFERROR(__xludf.DUMMYFUNCTION("""COMPUTED_VALUE"""),40060)</f>
        <v>40060</v>
      </c>
      <c r="R279" t="str">
        <f ca="1">IFERROR(__xludf.DUMMYFUNCTION("""COMPUTED_VALUE"""),"БЕРЕГОВАЯ-Э")</f>
        <v>БЕРЕГОВАЯ-Э</v>
      </c>
      <c r="S279" t="str">
        <f ca="1">IFERROR(__xludf.DUMMYFUNCTION("""COMPUTED_VALUE"""),"10.08.21 03-32")</f>
        <v>10.08.21 03-32</v>
      </c>
      <c r="T279">
        <f ca="1">IFERROR(__xludf.DUMMYFUNCTION("""COMPUTED_VALUE"""),1100)</f>
        <v>1100</v>
      </c>
      <c r="U279" t="str">
        <f ca="1">IFERROR(__xludf.DUMMYFUNCTION("""COMPUTED_VALUE"""),"21.05.2022 ДР")</f>
        <v>21.05.2022 ДР</v>
      </c>
      <c r="Z279" t="str">
        <f ca="1">IFERROR(__xludf.DUMMYFUNCTION("""COMPUTED_VALUE"""),"ООО «УКРВАГОН ПОСТАЧ»")</f>
        <v>ООО «УКРВАГОН ПОСТАЧ»</v>
      </c>
      <c r="AA279" t="str">
        <f ca="1">IFERROR(__xludf.DUMMYFUNCTION("""COMPUTED_VALUE"""),"12-4106")</f>
        <v>12-4106</v>
      </c>
      <c r="AB279" t="str">
        <f ca="1">IFERROR(__xludf.DUMMYFUNCTION("""COMPUTED_VALUE"""),"45 ПРИДН")</f>
        <v>45 ПРИДН</v>
      </c>
      <c r="AC279" t="str">
        <f ca="1">IFERROR(__xludf.DUMMYFUNCTION("""COMPUTED_VALUE"""),"47660 ДНЕПРОРУДНАЯ")</f>
        <v>47660 ДНЕПРОРУДНАЯ</v>
      </c>
      <c r="AD279" t="str">
        <f ca="1">IFERROR(__xludf.DUMMYFUNCTION("""COMPUTED_VALUE"""),"18.03.21 11-39")</f>
        <v>18.03.21 11-39</v>
      </c>
      <c r="AE279" t="str">
        <f ca="1">IFERROR(__xludf.DUMMYFUNCTION("""COMPUTED_VALUE"""),"540 НEИCПPAВНOCТЬ ЗAПOPA ЛЮКA")</f>
        <v>540 НEИCПPAВНOCТЬ ЗAПOPA ЛЮКA</v>
      </c>
      <c r="AF279" t="str">
        <f ca="1">IFERROR(__xludf.DUMMYFUNCTION("""COMPUTED_VALUE"""),"45 ПРИДН")</f>
        <v>45 ПРИДН</v>
      </c>
      <c r="AG279" t="str">
        <f ca="1">IFERROR(__xludf.DUMMYFUNCTION("""COMPUTED_VALUE"""),"47660 ДНЕПРОРУДНАЯ")</f>
        <v>47660 ДНЕПРОРУДНАЯ</v>
      </c>
      <c r="AH279" t="str">
        <f ca="1">IFERROR(__xludf.DUMMYFUNCTION("""COMPUTED_VALUE"""),"20.03.21 13-00")</f>
        <v>20.03.21 13-00</v>
      </c>
      <c r="AI279" s="21">
        <f ca="1">IFERROR(__xludf.DUMMYFUNCTION("""COMPUTED_VALUE"""),44420.357662037)</f>
        <v>44420.357662037</v>
      </c>
    </row>
    <row r="280" spans="1:35" ht="13" x14ac:dyDescent="0.15">
      <c r="A280">
        <f ca="1">IFERROR(__xludf.DUMMYFUNCTION("""COMPUTED_VALUE"""),1115)</f>
        <v>1115</v>
      </c>
      <c r="B280" t="str">
        <f ca="1">IFERROR(__xludf.DUMMYFUNCTION("""COMPUTED_VALUE"""),"Техрейс")</f>
        <v>Техрейс</v>
      </c>
      <c r="C280" t="str">
        <f ca="1">IFERROR(__xludf.DUMMYFUNCTION("""COMPUTED_VALUE"""),"Укрвагонпостач")</f>
        <v>Укрвагонпостач</v>
      </c>
      <c r="D280">
        <f ca="1">IFERROR(__xludf.DUMMYFUNCTION("""COMPUTED_VALUE"""),64054380)</f>
        <v>64054380</v>
      </c>
      <c r="E280" t="str">
        <f ca="1">IFERROR(__xludf.DUMMYFUNCTION("""COMPUTED_VALUE"""),"60 ПОЛУВАГОНЫ")</f>
        <v>60 ПОЛУВАГОНЫ</v>
      </c>
      <c r="F280">
        <f ca="1">IFERROR(__xludf.DUMMYFUNCTION("""COMPUTED_VALUE"""),42103)</f>
        <v>42103</v>
      </c>
      <c r="G280" t="str">
        <f ca="1">IFERROR(__xludf.DUMMYFUNCTION("""COMPUTED_VALUE"""),"ВАГОНЫ ЖД СВ")</f>
        <v>ВАГОНЫ ЖД СВ</v>
      </c>
      <c r="H280">
        <f ca="1">IFERROR(__xludf.DUMMYFUNCTION("""COMPUTED_VALUE"""),0)</f>
        <v>0</v>
      </c>
      <c r="I280">
        <f ca="1">IFERROR(__xludf.DUMMYFUNCTION("""COMPUTED_VALUE"""),1727)</f>
        <v>1727</v>
      </c>
      <c r="J280" t="str">
        <f ca="1">IFERROR(__xludf.DUMMYFUNCTION("""COMPUTED_VALUE"""),"4831 (35030-016-35050) ДУБНО - КРЕМЕНЕЦ")</f>
        <v>4831 (35030-016-35050) ДУБНО - КРЕМЕНЕЦ</v>
      </c>
      <c r="K280">
        <f ca="1">IFERROR(__xludf.DUMMYFUNCTION("""COMPUTED_VALUE"""),35050)</f>
        <v>35050</v>
      </c>
      <c r="L280" t="str">
        <f ca="1">IFERROR(__xludf.DUMMYFUNCTION("""COMPUTED_VALUE"""),"КРЕМЕНЕЦ")</f>
        <v>КРЕМЕНЕЦ</v>
      </c>
      <c r="M280" t="str">
        <f ca="1">IFERROR(__xludf.DUMMYFUNCTION("""COMPUTED_VALUE"""),"12.08.21 04-05")</f>
        <v>12.08.21 04-05</v>
      </c>
      <c r="N280" t="str">
        <f ca="1">IFERROR(__xludf.DUMMYFUNCTION("""COMPUTED_VALUE"""),"04 РАСФ")</f>
        <v>04 РАСФ</v>
      </c>
      <c r="O280">
        <f ca="1">IFERROR(__xludf.DUMMYFUNCTION("""COMPUTED_VALUE"""),35050)</f>
        <v>35050</v>
      </c>
      <c r="P280" t="str">
        <f ca="1">IFERROR(__xludf.DUMMYFUNCTION("""COMPUTED_VALUE"""),"КРЕМЕНЕЦ")</f>
        <v>КРЕМЕНЕЦ</v>
      </c>
      <c r="Q280">
        <f ca="1">IFERROR(__xludf.DUMMYFUNCTION("""COMPUTED_VALUE"""),35680)</f>
        <v>35680</v>
      </c>
      <c r="R280" t="str">
        <f ca="1">IFERROR(__xludf.DUMMYFUNCTION("""COMPUTED_VALUE"""),"КОСТОПОЛЬ")</f>
        <v>КОСТОПОЛЬ</v>
      </c>
      <c r="S280" t="str">
        <f ca="1">IFERROR(__xludf.DUMMYFUNCTION("""COMPUTED_VALUE"""),"31.07.21 20-02")</f>
        <v>31.07.21 20-02</v>
      </c>
      <c r="T280">
        <f ca="1">IFERROR(__xludf.DUMMYFUNCTION("""COMPUTED_VALUE"""),8200)</f>
        <v>8200</v>
      </c>
      <c r="U280" t="str">
        <f ca="1">IFERROR(__xludf.DUMMYFUNCTION("""COMPUTED_VALUE"""),"29.03.2022 ДР")</f>
        <v>29.03.2022 ДР</v>
      </c>
      <c r="Z280" t="str">
        <f ca="1">IFERROR(__xludf.DUMMYFUNCTION("""COMPUTED_VALUE"""),"ООО «УКРВАГОН ПОСТАЧ»")</f>
        <v>ООО «УКРВАГОН ПОСТАЧ»</v>
      </c>
      <c r="AA280" t="str">
        <f ca="1">IFERROR(__xludf.DUMMYFUNCTION("""COMPUTED_VALUE"""),"12-4106")</f>
        <v>12-4106</v>
      </c>
      <c r="AB280" t="str">
        <f ca="1">IFERROR(__xludf.DUMMYFUNCTION("""COMPUTED_VALUE"""),"45 ПРИДН")</f>
        <v>45 ПРИДН</v>
      </c>
      <c r="AC280" t="str">
        <f ca="1">IFERROR(__xludf.DUMMYFUNCTION("""COMPUTED_VALUE"""),"47660 ДНЕПРОРУДНАЯ")</f>
        <v>47660 ДНЕПРОРУДНАЯ</v>
      </c>
      <c r="AD280" t="str">
        <f ca="1">IFERROR(__xludf.DUMMYFUNCTION("""COMPUTED_VALUE"""),"05.02.21 21-30")</f>
        <v>05.02.21 21-30</v>
      </c>
      <c r="AE28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80" t="str">
        <f ca="1">IFERROR(__xludf.DUMMYFUNCTION("""COMPUTED_VALUE"""),"45 ПРИДН")</f>
        <v>45 ПРИДН</v>
      </c>
      <c r="AG280" t="str">
        <f ca="1">IFERROR(__xludf.DUMMYFUNCTION("""COMPUTED_VALUE"""),"47660 ДНЕПРОРУДНАЯ")</f>
        <v>47660 ДНЕПРОРУДНАЯ</v>
      </c>
      <c r="AH280" t="str">
        <f ca="1">IFERROR(__xludf.DUMMYFUNCTION("""COMPUTED_VALUE"""),"09.02.21 06-00")</f>
        <v>09.02.21 06-00</v>
      </c>
      <c r="AI280" s="21">
        <f ca="1">IFERROR(__xludf.DUMMYFUNCTION("""COMPUTED_VALUE"""),44420.357662037)</f>
        <v>44420.357662037</v>
      </c>
    </row>
    <row r="281" spans="1:35" ht="13" x14ac:dyDescent="0.15">
      <c r="A281">
        <f ca="1">IFERROR(__xludf.DUMMYFUNCTION("""COMPUTED_VALUE"""),1118)</f>
        <v>1118</v>
      </c>
      <c r="B281" t="str">
        <f ca="1">IFERROR(__xludf.DUMMYFUNCTION("""COMPUTED_VALUE"""),"Техрейс")</f>
        <v>Техрейс</v>
      </c>
      <c r="C281" t="str">
        <f ca="1">IFERROR(__xludf.DUMMYFUNCTION("""COMPUTED_VALUE"""),"Трейн Інвестмент")</f>
        <v>Трейн Інвестмент</v>
      </c>
      <c r="D281">
        <f ca="1">IFERROR(__xludf.DUMMYFUNCTION("""COMPUTED_VALUE"""),52226040)</f>
        <v>52226040</v>
      </c>
      <c r="E281" t="str">
        <f ca="1">IFERROR(__xludf.DUMMYFUNCTION("""COMPUTED_VALUE"""),"60 ПОЛУВАГОНЫ")</f>
        <v>60 ПОЛУВАГОНЫ</v>
      </c>
      <c r="F281">
        <f ca="1">IFERROR(__xludf.DUMMYFUNCTION("""COMPUTED_VALUE"""),42119)</f>
        <v>42119</v>
      </c>
      <c r="G281" t="str">
        <f ca="1">IFERROR(__xludf.DUMMYFUNCTION("""COMPUTED_VALUE"""),"ВАГОНЫ ЖД РЕМОН")</f>
        <v>ВАГОНЫ ЖД РЕМОН</v>
      </c>
      <c r="H281">
        <f ca="1">IFERROR(__xludf.DUMMYFUNCTION("""COMPUTED_VALUE"""),0)</f>
        <v>0</v>
      </c>
      <c r="I281">
        <f ca="1">IFERROR(__xludf.DUMMYFUNCTION("""COMPUTED_VALUE"""),9259)</f>
        <v>9259</v>
      </c>
      <c r="J281" t="str">
        <f ca="1">IFERROR(__xludf.DUMMYFUNCTION("""COMPUTED_VALUE"""),"3431 (33000-416-33060) ЖМЕРИНКА - ГРЕЧАНЫ")</f>
        <v>3431 (33000-416-33060) ЖМЕРИНКА - ГРЕЧАНЫ</v>
      </c>
      <c r="K281">
        <f ca="1">IFERROR(__xludf.DUMMYFUNCTION("""COMPUTED_VALUE"""),33070)</f>
        <v>33070</v>
      </c>
      <c r="L281" t="str">
        <f ca="1">IFERROR(__xludf.DUMMYFUNCTION("""COMPUTED_VALUE"""),"ХМЕЛЬНИЦКИЙ")</f>
        <v>ХМЕЛЬНИЦКИЙ</v>
      </c>
      <c r="M281" t="str">
        <f ca="1">IFERROR(__xludf.DUMMYFUNCTION("""COMPUTED_VALUE"""),"12.08.21 07-48")</f>
        <v>12.08.21 07-48</v>
      </c>
      <c r="N281" t="str">
        <f ca="1">IFERROR(__xludf.DUMMYFUNCTION("""COMPUTED_VALUE"""),"01 ПРИБ")</f>
        <v>01 ПРИБ</v>
      </c>
      <c r="O281">
        <f ca="1">IFERROR(__xludf.DUMMYFUNCTION("""COMPUTED_VALUE"""),33290)</f>
        <v>33290</v>
      </c>
      <c r="P281" t="str">
        <f ca="1">IFERROR(__xludf.DUMMYFUNCTION("""COMPUTED_VALUE"""),"КАМЕНЕЦ-ПОД")</f>
        <v>КАМЕНЕЦ-ПОД</v>
      </c>
      <c r="Q281">
        <f ca="1">IFERROR(__xludf.DUMMYFUNCTION("""COMPUTED_VALUE"""),33000)</f>
        <v>33000</v>
      </c>
      <c r="R281" t="str">
        <f ca="1">IFERROR(__xludf.DUMMYFUNCTION("""COMPUTED_VALUE"""),"ЖМЕРИНКА")</f>
        <v>ЖМЕРИНКА</v>
      </c>
      <c r="S281" t="str">
        <f ca="1">IFERROR(__xludf.DUMMYFUNCTION("""COMPUTED_VALUE"""),"10.08.21 17-05")</f>
        <v>10.08.21 17-05</v>
      </c>
      <c r="T281">
        <f ca="1">IFERROR(__xludf.DUMMYFUNCTION("""COMPUTED_VALUE"""),8200)</f>
        <v>8200</v>
      </c>
      <c r="U281" t="str">
        <f ca="1">IFERROR(__xludf.DUMMYFUNCTION("""COMPUTED_VALUE"""),"13.10.2023 ДР")</f>
        <v>13.10.2023 ДР</v>
      </c>
      <c r="Z281" t="str">
        <f ca="1">IFERROR(__xludf.DUMMYFUNCTION("""COMPUTED_VALUE"""),"ООО «ТРЕЙН ИНВЕСТМЕНТ»")</f>
        <v>ООО «ТРЕЙН ИНВЕСТМЕНТ»</v>
      </c>
      <c r="AA281" t="str">
        <f ca="1">IFERROR(__xludf.DUMMYFUNCTION("""COMPUTED_VALUE"""),"12-132")</f>
        <v>12-132</v>
      </c>
      <c r="AB281" t="str">
        <f ca="1">IFERROR(__xludf.DUMMYFUNCTION("""COMPUTED_VALUE"""),"32 Ю-ЗАП")</f>
        <v>32 Ю-ЗАП</v>
      </c>
      <c r="AC281" t="str">
        <f ca="1">IFERROR(__xludf.DUMMYFUNCTION("""COMPUTED_VALUE"""),"33000 ЖМЕРИНКА")</f>
        <v>33000 ЖМЕРИНКА</v>
      </c>
      <c r="AD281" t="str">
        <f ca="1">IFERROR(__xludf.DUMMYFUNCTION("""COMPUTED_VALUE"""),"19.07.21 11-35")</f>
        <v>19.07.21 11-35</v>
      </c>
      <c r="AE281" t="str">
        <f ca="1">IFERROR(__xludf.DUMMYFUNCTION("""COMPUTED_VALUE"""),"102 ТOНКИЙ ГPEБEНЬ")</f>
        <v>102 ТOНКИЙ ГPEБEНЬ</v>
      </c>
      <c r="AF281" t="str">
        <f ca="1">IFERROR(__xludf.DUMMYFUNCTION("""COMPUTED_VALUE"""),"32 Ю-ЗАП")</f>
        <v>32 Ю-ЗАП</v>
      </c>
      <c r="AG281" t="str">
        <f ca="1">IFERROR(__xludf.DUMMYFUNCTION("""COMPUTED_VALUE"""),"33000 ЖМЕРИНКА")</f>
        <v>33000 ЖМЕРИНКА</v>
      </c>
      <c r="AH281" t="str">
        <f ca="1">IFERROR(__xludf.DUMMYFUNCTION("""COMPUTED_VALUE"""),"10.08.21 17-00")</f>
        <v>10.08.21 17-00</v>
      </c>
      <c r="AI281" s="21">
        <f ca="1">IFERROR(__xludf.DUMMYFUNCTION("""COMPUTED_VALUE"""),44420.357662037)</f>
        <v>44420.357662037</v>
      </c>
    </row>
    <row r="282" spans="1:35" ht="13" x14ac:dyDescent="0.15">
      <c r="A282">
        <f ca="1">IFERROR(__xludf.DUMMYFUNCTION("""COMPUTED_VALUE"""),1129)</f>
        <v>1129</v>
      </c>
      <c r="B282" t="str">
        <f ca="1">IFERROR(__xludf.DUMMYFUNCTION("""COMPUTED_VALUE"""),"Подольский цемент")</f>
        <v>Подольский цемент</v>
      </c>
      <c r="C282" t="str">
        <f ca="1">IFERROR(__xludf.DUMMYFUNCTION("""COMPUTED_VALUE"""),"Индустриальные решения")</f>
        <v>Индустриальные решения</v>
      </c>
      <c r="D282">
        <f ca="1">IFERROR(__xludf.DUMMYFUNCTION("""COMPUTED_VALUE"""),60963048)</f>
        <v>60963048</v>
      </c>
      <c r="E282" t="str">
        <f ca="1">IFERROR(__xludf.DUMMYFUNCTION("""COMPUTED_VALUE"""),"60 ПОЛУВАГОНЫ")</f>
        <v>60 ПОЛУВАГОНЫ</v>
      </c>
      <c r="F282">
        <f ca="1">IFERROR(__xludf.DUMMYFUNCTION("""COMPUTED_VALUE"""),24500)</f>
        <v>24500</v>
      </c>
      <c r="G282" t="str">
        <f ca="1">IFERROR(__xludf.DUMMYFUNCTION("""COMPUTED_VALUE"""),"КЛИНКЕР ЦЕМЕНТ")</f>
        <v>КЛИНКЕР ЦЕМЕНТ</v>
      </c>
      <c r="H282">
        <f ca="1">IFERROR(__xludf.DUMMYFUNCTION("""COMPUTED_VALUE"""),69)</f>
        <v>69</v>
      </c>
      <c r="I282">
        <f ca="1">IFERROR(__xludf.DUMMYFUNCTION("""COMPUTED_VALUE"""),1489)</f>
        <v>1489</v>
      </c>
      <c r="J282" t="str">
        <f ca="1">IFERROR(__xludf.DUMMYFUNCTION("""COMPUTED_VALUE"""),"3106 (33300-024-37780) ГУМЕНЦЫ - НИКОЛАЕВ-ДН")</f>
        <v>3106 (33300-024-37780) ГУМЕНЦЫ - НИКОЛАЕВ-ДН</v>
      </c>
      <c r="K282">
        <f ca="1">IFERROR(__xludf.DUMMYFUNCTION("""COMPUTED_VALUE"""),33300)</f>
        <v>33300</v>
      </c>
      <c r="L282" t="str">
        <f ca="1">IFERROR(__xludf.DUMMYFUNCTION("""COMPUTED_VALUE"""),"ГУМЕНЦЫ")</f>
        <v>ГУМЕНЦЫ</v>
      </c>
      <c r="M282" t="str">
        <f ca="1">IFERROR(__xludf.DUMMYFUNCTION("""COMPUTED_VALUE"""),"12.08.21 01-30")</f>
        <v>12.08.21 01-30</v>
      </c>
      <c r="N282" t="str">
        <f ca="1">IFERROR(__xludf.DUMMYFUNCTION("""COMPUTED_VALUE"""),"97 ОКОТ")</f>
        <v>97 ОКОТ</v>
      </c>
      <c r="O282">
        <f ca="1">IFERROR(__xludf.DUMMYFUNCTION("""COMPUTED_VALUE"""),37780)</f>
        <v>37780</v>
      </c>
      <c r="P282" t="str">
        <f ca="1">IFERROR(__xludf.DUMMYFUNCTION("""COMPUTED_VALUE"""),"НИКОЛАЕВ-ДН")</f>
        <v>НИКОЛАЕВ-ДН</v>
      </c>
      <c r="Q282">
        <f ca="1">IFERROR(__xludf.DUMMYFUNCTION("""COMPUTED_VALUE"""),33300)</f>
        <v>33300</v>
      </c>
      <c r="R282" t="str">
        <f ca="1">IFERROR(__xludf.DUMMYFUNCTION("""COMPUTED_VALUE"""),"ГУМЕНЦЫ")</f>
        <v>ГУМЕНЦЫ</v>
      </c>
      <c r="S282" t="str">
        <f ca="1">IFERROR(__xludf.DUMMYFUNCTION("""COMPUTED_VALUE"""),"12.08.21 01-30")</f>
        <v>12.08.21 01-30</v>
      </c>
      <c r="T282">
        <f ca="1">IFERROR(__xludf.DUMMYFUNCTION("""COMPUTED_VALUE"""),5268)</f>
        <v>5268</v>
      </c>
      <c r="U282" t="str">
        <f ca="1">IFERROR(__xludf.DUMMYFUNCTION("""COMPUTED_VALUE"""),"03.10.2022 ДР")</f>
        <v>03.10.2022 ДР</v>
      </c>
      <c r="Z282" t="str">
        <f ca="1">IFERROR(__xludf.DUMMYFUNCTION("""COMPUTED_VALUE"""),"ООО ""ИНДУСТРИАЛЬНЫЕ РЕШЕНИЯ""")</f>
        <v>ООО "ИНДУСТРИАЛЬНЫЕ РЕШЕНИЯ"</v>
      </c>
      <c r="AA282" t="str">
        <f ca="1">IFERROR(__xludf.DUMMYFUNCTION("""COMPUTED_VALUE"""),"12-783")</f>
        <v>12-783</v>
      </c>
      <c r="AI282" s="21">
        <f ca="1">IFERROR(__xludf.DUMMYFUNCTION("""COMPUTED_VALUE"""),44420.357662037)</f>
        <v>44420.357662037</v>
      </c>
    </row>
    <row r="283" spans="1:35" ht="13" x14ac:dyDescent="0.15">
      <c r="A283">
        <f ca="1">IFERROR(__xludf.DUMMYFUNCTION("""COMPUTED_VALUE"""),1130)</f>
        <v>1130</v>
      </c>
      <c r="B283" t="str">
        <f ca="1">IFERROR(__xludf.DUMMYFUNCTION("""COMPUTED_VALUE"""),"Техрейс")</f>
        <v>Техрейс</v>
      </c>
      <c r="C283" t="str">
        <f ca="1">IFERROR(__xludf.DUMMYFUNCTION("""COMPUTED_VALUE"""),"Трейн Інвестмент")</f>
        <v>Трейн Інвестмент</v>
      </c>
      <c r="D283">
        <f ca="1">IFERROR(__xludf.DUMMYFUNCTION("""COMPUTED_VALUE"""),52293834)</f>
        <v>52293834</v>
      </c>
      <c r="E283" t="str">
        <f ca="1">IFERROR(__xludf.DUMMYFUNCTION("""COMPUTED_VALUE"""),"60 ПОЛУВАГОНЫ")</f>
        <v>60 ПОЛУВАГОНЫ</v>
      </c>
      <c r="F283">
        <f ca="1">IFERROR(__xludf.DUMMYFUNCTION("""COMPUTED_VALUE"""),14109)</f>
        <v>14109</v>
      </c>
      <c r="G283" t="str">
        <f ca="1">IFERROR(__xludf.DUMMYFUNCTION("""COMPUTED_VALUE"""),"ГЕМАТИТ")</f>
        <v>ГЕМАТИТ</v>
      </c>
      <c r="H283">
        <f ca="1">IFERROR(__xludf.DUMMYFUNCTION("""COMPUTED_VALUE"""),70)</f>
        <v>70</v>
      </c>
      <c r="I283">
        <f ca="1">IFERROR(__xludf.DUMMYFUNCTION("""COMPUTED_VALUE"""),5786)</f>
        <v>5786</v>
      </c>
      <c r="J283" t="str">
        <f ca="1">IFERROR(__xludf.DUMMYFUNCTION("""COMPUTED_VALUE"""),"1603 (46720-453-40060) КРИВОЙ РОГ - БЕРЕГОВАЯ-Э")</f>
        <v>1603 (46720-453-40060) КРИВОЙ РОГ - БЕРЕГОВАЯ-Э</v>
      </c>
      <c r="K283">
        <f ca="1">IFERROR(__xludf.DUMMYFUNCTION("""COMPUTED_VALUE"""),41411)</f>
        <v>41411</v>
      </c>
      <c r="L283" t="str">
        <f ca="1">IFERROR(__xludf.DUMMYFUNCTION("""COMPUTED_VALUE"""),"ТИМКОВО")</f>
        <v>ТИМКОВО</v>
      </c>
      <c r="M283" t="str">
        <f ca="1">IFERROR(__xludf.DUMMYFUNCTION("""COMPUTED_VALUE"""),"12.08.21 08-13")</f>
        <v>12.08.21 08-13</v>
      </c>
      <c r="N283" t="str">
        <f ca="1">IFERROR(__xludf.DUMMYFUNCTION("""COMPUTED_VALUE"""),"02 ОТПР")</f>
        <v>02 ОТПР</v>
      </c>
      <c r="O283">
        <f ca="1">IFERROR(__xludf.DUMMYFUNCTION("""COMPUTED_VALUE"""),40060)</f>
        <v>40060</v>
      </c>
      <c r="P283" t="str">
        <f ca="1">IFERROR(__xludf.DUMMYFUNCTION("""COMPUTED_VALUE"""),"БЕРЕГОВАЯ-Э")</f>
        <v>БЕРЕГОВАЯ-Э</v>
      </c>
      <c r="Q283">
        <f ca="1">IFERROR(__xludf.DUMMYFUNCTION("""COMPUTED_VALUE"""),46720)</f>
        <v>46720</v>
      </c>
      <c r="R283" t="str">
        <f ca="1">IFERROR(__xludf.DUMMYFUNCTION("""COMPUTED_VALUE"""),"КРИВОЙ РОГ")</f>
        <v>КРИВОЙ РОГ</v>
      </c>
      <c r="S283" t="str">
        <f ca="1">IFERROR(__xludf.DUMMYFUNCTION("""COMPUTED_VALUE"""),"11.08.21 15-00")</f>
        <v>11.08.21 15-00</v>
      </c>
      <c r="T283">
        <f ca="1">IFERROR(__xludf.DUMMYFUNCTION("""COMPUTED_VALUE"""),5343)</f>
        <v>5343</v>
      </c>
      <c r="U283" t="str">
        <f ca="1">IFERROR(__xludf.DUMMYFUNCTION("""COMPUTED_VALUE"""),"31.10.2021 ДР")</f>
        <v>31.10.2021 ДР</v>
      </c>
      <c r="Z283" t="str">
        <f ca="1">IFERROR(__xludf.DUMMYFUNCTION("""COMPUTED_VALUE"""),"ООО «ТРЕЙН ИНВЕСТМЕНТ»")</f>
        <v>ООО «ТРЕЙН ИНВЕСТМЕНТ»</v>
      </c>
      <c r="AA283" t="str">
        <f ca="1">IFERROR(__xludf.DUMMYFUNCTION("""COMPUTED_VALUE"""),"12-132")</f>
        <v>12-132</v>
      </c>
      <c r="AB283" t="str">
        <f ca="1">IFERROR(__xludf.DUMMYFUNCTION("""COMPUTED_VALUE"""),"45 ПРИДН")</f>
        <v>45 ПРИДН</v>
      </c>
      <c r="AC283" t="str">
        <f ca="1">IFERROR(__xludf.DUMMYFUNCTION("""COMPUTED_VALUE"""),"46720 КРИВОЙ РОГ")</f>
        <v>46720 КРИВОЙ РОГ</v>
      </c>
      <c r="AD283" t="str">
        <f ca="1">IFERROR(__xludf.DUMMYFUNCTION("""COMPUTED_VALUE"""),"08.08.21 10-01")</f>
        <v>08.08.21 10-01</v>
      </c>
      <c r="AE283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83" t="str">
        <f ca="1">IFERROR(__xludf.DUMMYFUNCTION("""COMPUTED_VALUE"""),"45 ПРИДН")</f>
        <v>45 ПРИДН</v>
      </c>
      <c r="AG283" t="str">
        <f ca="1">IFERROR(__xludf.DUMMYFUNCTION("""COMPUTED_VALUE"""),"46720 КРИВОЙ РОГ")</f>
        <v>46720 КРИВОЙ РОГ</v>
      </c>
      <c r="AH283" t="str">
        <f ca="1">IFERROR(__xludf.DUMMYFUNCTION("""COMPUTED_VALUE"""),"10.08.21 13-00")</f>
        <v>10.08.21 13-00</v>
      </c>
      <c r="AI283" s="21">
        <f ca="1">IFERROR(__xludf.DUMMYFUNCTION("""COMPUTED_VALUE"""),44420.357662037)</f>
        <v>44420.357662037</v>
      </c>
    </row>
    <row r="284" spans="1:35" ht="13" x14ac:dyDescent="0.15">
      <c r="A284">
        <f ca="1">IFERROR(__xludf.DUMMYFUNCTION("""COMPUTED_VALUE"""),1131)</f>
        <v>1131</v>
      </c>
      <c r="B284" t="str">
        <f ca="1">IFERROR(__xludf.DUMMYFUNCTION("""COMPUTED_VALUE"""),"Техрейс")</f>
        <v>Техрейс</v>
      </c>
      <c r="C284" t="str">
        <f ca="1">IFERROR(__xludf.DUMMYFUNCTION("""COMPUTED_VALUE"""),"ЕУ-Транс")</f>
        <v>ЕУ-Транс</v>
      </c>
      <c r="D284">
        <f ca="1">IFERROR(__xludf.DUMMYFUNCTION("""COMPUTED_VALUE"""),60029394)</f>
        <v>60029394</v>
      </c>
      <c r="E284" t="str">
        <f ca="1">IFERROR(__xludf.DUMMYFUNCTION("""COMPUTED_VALUE"""),"60 ПОЛУВАГОНЫ")</f>
        <v>60 ПОЛУВАГОНЫ</v>
      </c>
      <c r="F284">
        <f ca="1">IFERROR(__xludf.DUMMYFUNCTION("""COMPUTED_VALUE"""),42103)</f>
        <v>42103</v>
      </c>
      <c r="G284" t="str">
        <f ca="1">IFERROR(__xludf.DUMMYFUNCTION("""COMPUTED_VALUE"""),"ВАГОНЫ ЖД СВ")</f>
        <v>ВАГОНЫ ЖД СВ</v>
      </c>
      <c r="H284">
        <f ca="1">IFERROR(__xludf.DUMMYFUNCTION("""COMPUTED_VALUE"""),70)</f>
        <v>70</v>
      </c>
      <c r="I284">
        <f ca="1">IFERROR(__xludf.DUMMYFUNCTION("""COMPUTED_VALUE"""),1641)</f>
        <v>1641</v>
      </c>
      <c r="J284" t="str">
        <f ca="1">IFERROR(__xludf.DUMMYFUNCTION("""COMPUTED_VALUE"""),"2148 (38250-040-37000) БАТЕВО - ЛЬВОВ")</f>
        <v>2148 (38250-040-37000) БАТЕВО - ЛЬВОВ</v>
      </c>
      <c r="K284">
        <f ca="1">IFERROR(__xludf.DUMMYFUNCTION("""COMPUTED_VALUE"""),37000)</f>
        <v>37000</v>
      </c>
      <c r="L284" t="str">
        <f ca="1">IFERROR(__xludf.DUMMYFUNCTION("""COMPUTED_VALUE"""),"ЛЬВОВ")</f>
        <v>ЛЬВОВ</v>
      </c>
      <c r="M284" t="str">
        <f ca="1">IFERROR(__xludf.DUMMYFUNCTION("""COMPUTED_VALUE"""),"12.08.21 02-32")</f>
        <v>12.08.21 02-32</v>
      </c>
      <c r="N284" t="str">
        <f ca="1">IFERROR(__xludf.DUMMYFUNCTION("""COMPUTED_VALUE"""),"01 ПРИБ")</f>
        <v>01 ПРИБ</v>
      </c>
      <c r="O284">
        <f ca="1">IFERROR(__xludf.DUMMYFUNCTION("""COMPUTED_VALUE"""),36440)</f>
        <v>36440</v>
      </c>
      <c r="P284" t="str">
        <f ca="1">IFERROR(__xludf.DUMMYFUNCTION("""COMPUTED_VALUE"""),"БУЧАЧ")</f>
        <v>БУЧАЧ</v>
      </c>
      <c r="Q284">
        <f ca="1">IFERROR(__xludf.DUMMYFUNCTION("""COMPUTED_VALUE"""),49480)</f>
        <v>49480</v>
      </c>
      <c r="R284" t="str">
        <f ca="1">IFERROR(__xludf.DUMMYFUNCTION("""COMPUTED_VALUE"""),"СОЛЬ")</f>
        <v>СОЛЬ</v>
      </c>
      <c r="S284" t="str">
        <f ca="1">IFERROR(__xludf.DUMMYFUNCTION("""COMPUTED_VALUE"""),"30.07.21 14-00")</f>
        <v>30.07.21 14-00</v>
      </c>
      <c r="T284">
        <f ca="1">IFERROR(__xludf.DUMMYFUNCTION("""COMPUTED_VALUE"""),0)</f>
        <v>0</v>
      </c>
      <c r="U284" t="str">
        <f ca="1">IFERROR(__xludf.DUMMYFUNCTION("""COMPUTED_VALUE"""),"22.03.2022 ДР")</f>
        <v>22.03.2022 ДР</v>
      </c>
      <c r="Z284" t="str">
        <f ca="1">IFERROR(__xludf.DUMMYFUNCTION("""COMPUTED_VALUE"""),"ООО «ЕУ-Транс»")</f>
        <v>ООО «ЕУ-Транс»</v>
      </c>
      <c r="AA284" t="str">
        <f ca="1">IFERROR(__xludf.DUMMYFUNCTION("""COMPUTED_VALUE"""),"12-127")</f>
        <v>12-127</v>
      </c>
      <c r="AB284" t="str">
        <f ca="1">IFERROR(__xludf.DUMMYFUNCTION("""COMPUTED_VALUE"""),"40 ОД")</f>
        <v>40 ОД</v>
      </c>
      <c r="AC284" t="str">
        <f ca="1">IFERROR(__xludf.DUMMYFUNCTION("""COMPUTED_VALUE"""),"40200 ЧЕРНОМОРСК-П")</f>
        <v>40200 ЧЕРНОМОРСК-П</v>
      </c>
      <c r="AD284" t="str">
        <f ca="1">IFERROR(__xludf.DUMMYFUNCTION("""COMPUTED_VALUE"""),"04.07.21 13-20")</f>
        <v>04.07.21 13-20</v>
      </c>
      <c r="AE284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84" t="str">
        <f ca="1">IFERROR(__xludf.DUMMYFUNCTION("""COMPUTED_VALUE"""),"40 ОД")</f>
        <v>40 ОД</v>
      </c>
      <c r="AG284" t="str">
        <f ca="1">IFERROR(__xludf.DUMMYFUNCTION("""COMPUTED_VALUE"""),"40200 ЧЕРНОМОРСК-П")</f>
        <v>40200 ЧЕРНОМОРСК-П</v>
      </c>
      <c r="AH284" t="str">
        <f ca="1">IFERROR(__xludf.DUMMYFUNCTION("""COMPUTED_VALUE"""),"05.07.21 16-00")</f>
        <v>05.07.21 16-00</v>
      </c>
      <c r="AI284" s="21">
        <f ca="1">IFERROR(__xludf.DUMMYFUNCTION("""COMPUTED_VALUE"""),44420.357662037)</f>
        <v>44420.357662037</v>
      </c>
    </row>
    <row r="285" spans="1:35" ht="13" x14ac:dyDescent="0.15">
      <c r="A285">
        <f ca="1">IFERROR(__xludf.DUMMYFUNCTION("""COMPUTED_VALUE"""),1132)</f>
        <v>1132</v>
      </c>
      <c r="B285" t="str">
        <f ca="1">IFERROR(__xludf.DUMMYFUNCTION("""COMPUTED_VALUE"""),"Лидер")</f>
        <v>Лидер</v>
      </c>
      <c r="C285" t="str">
        <f ca="1">IFERROR(__xludf.DUMMYFUNCTION("""COMPUTED_VALUE"""),"ЕУ-Транс")</f>
        <v>ЕУ-Транс</v>
      </c>
      <c r="D285">
        <f ca="1">IFERROR(__xludf.DUMMYFUNCTION("""COMPUTED_VALUE"""),60028891)</f>
        <v>60028891</v>
      </c>
      <c r="E285" t="str">
        <f ca="1">IFERROR(__xludf.DUMMYFUNCTION("""COMPUTED_VALUE"""),"60 ПОЛУВАГОНЫ")</f>
        <v>60 ПОЛУВАГОНЫ</v>
      </c>
      <c r="F285">
        <f ca="1">IFERROR(__xludf.DUMMYFUNCTION("""COMPUTED_VALUE"""),42103)</f>
        <v>42103</v>
      </c>
      <c r="G285" t="str">
        <f ca="1">IFERROR(__xludf.DUMMYFUNCTION("""COMPUTED_VALUE"""),"ВАГОНЫ ЖД СВ")</f>
        <v>ВАГОНЫ ЖД СВ</v>
      </c>
      <c r="H285">
        <f ca="1">IFERROR(__xludf.DUMMYFUNCTION("""COMPUTED_VALUE"""),0)</f>
        <v>0</v>
      </c>
      <c r="I285">
        <f ca="1">IFERROR(__xludf.DUMMYFUNCTION("""COMPUTED_VALUE"""),3437)</f>
        <v>3437</v>
      </c>
      <c r="J285" t="str">
        <f ca="1">IFERROR(__xludf.DUMMYFUNCTION("""COMPUTED_VALUE"""),"1111 (49870-080-43000) РУБЕЖНОЕ - КУПЯНСК-СОРТ")</f>
        <v>1111 (49870-080-43000) РУБЕЖНОЕ - КУПЯНСК-СОРТ</v>
      </c>
      <c r="K285">
        <f ca="1">IFERROR(__xludf.DUMMYFUNCTION("""COMPUTED_VALUE"""),49870)</f>
        <v>49870</v>
      </c>
      <c r="L285" t="str">
        <f ca="1">IFERROR(__xludf.DUMMYFUNCTION("""COMPUTED_VALUE"""),"РУБЕЖНОЕ")</f>
        <v>РУБЕЖНОЕ</v>
      </c>
      <c r="M285" t="str">
        <f ca="1">IFERROR(__xludf.DUMMYFUNCTION("""COMPUTED_VALUE"""),"12.08.21 05-40")</f>
        <v>12.08.21 05-40</v>
      </c>
      <c r="N285" t="str">
        <f ca="1">IFERROR(__xludf.DUMMYFUNCTION("""COMPUTED_VALUE"""),"05 ФОРМ")</f>
        <v>05 ФОРМ</v>
      </c>
      <c r="O285">
        <f ca="1">IFERROR(__xludf.DUMMYFUNCTION("""COMPUTED_VALUE"""),34750)</f>
        <v>34750</v>
      </c>
      <c r="P285" t="str">
        <f ca="1">IFERROR(__xludf.DUMMYFUNCTION("""COMPUTED_VALUE"""),"ПЕНИЗЕВИЧИ")</f>
        <v>ПЕНИЗЕВИЧИ</v>
      </c>
      <c r="Q285">
        <f ca="1">IFERROR(__xludf.DUMMYFUNCTION("""COMPUTED_VALUE"""),49870)</f>
        <v>49870</v>
      </c>
      <c r="R285" t="str">
        <f ca="1">IFERROR(__xludf.DUMMYFUNCTION("""COMPUTED_VALUE"""),"РУБЕЖНОЕ")</f>
        <v>РУБЕЖНОЕ</v>
      </c>
      <c r="S285" t="str">
        <f ca="1">IFERROR(__xludf.DUMMYFUNCTION("""COMPUTED_VALUE"""),"11.08.21 21-30")</f>
        <v>11.08.21 21-30</v>
      </c>
      <c r="T285">
        <f ca="1">IFERROR(__xludf.DUMMYFUNCTION("""COMPUTED_VALUE"""),2992)</f>
        <v>2992</v>
      </c>
      <c r="U285" t="str">
        <f ca="1">IFERROR(__xludf.DUMMYFUNCTION("""COMPUTED_VALUE"""),"25.05.2023 ДР")</f>
        <v>25.05.2023 ДР</v>
      </c>
      <c r="Z285" t="str">
        <f ca="1">IFERROR(__xludf.DUMMYFUNCTION("""COMPUTED_VALUE"""),"ООО ""ЕУ-ТРАНС""")</f>
        <v>ООО "ЕУ-ТРАНС"</v>
      </c>
      <c r="AA285" t="str">
        <f ca="1">IFERROR(__xludf.DUMMYFUNCTION("""COMPUTED_VALUE"""),"12-127")</f>
        <v>12-127</v>
      </c>
      <c r="AB285" t="str">
        <f ca="1">IFERROR(__xludf.DUMMYFUNCTION("""COMPUTED_VALUE"""),"40 ОД")</f>
        <v>40 ОД</v>
      </c>
      <c r="AC285" t="str">
        <f ca="1">IFERROR(__xludf.DUMMYFUNCTION("""COMPUTED_VALUE"""),"41190 ПОМОШНАЯ")</f>
        <v>41190 ПОМОШНАЯ</v>
      </c>
      <c r="AD285" t="str">
        <f ca="1">IFERROR(__xludf.DUMMYFUNCTION("""COMPUTED_VALUE"""),"25.05.20 07-51")</f>
        <v>25.05.20 07-51</v>
      </c>
      <c r="AE285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285" t="str">
        <f ca="1">IFERROR(__xludf.DUMMYFUNCTION("""COMPUTED_VALUE"""),"40 ОД")</f>
        <v>40 ОД</v>
      </c>
      <c r="AG285" t="str">
        <f ca="1">IFERROR(__xludf.DUMMYFUNCTION("""COMPUTED_VALUE"""),"41190 ПОМОШНАЯ")</f>
        <v>41190 ПОМОШНАЯ</v>
      </c>
      <c r="AH285" t="str">
        <f ca="1">IFERROR(__xludf.DUMMYFUNCTION("""COMPUTED_VALUE"""),"25.05.20 17-00")</f>
        <v>25.05.20 17-00</v>
      </c>
      <c r="AI285" s="21">
        <f ca="1">IFERROR(__xludf.DUMMYFUNCTION("""COMPUTED_VALUE"""),44420.357662037)</f>
        <v>44420.357662037</v>
      </c>
    </row>
    <row r="286" spans="1:35" ht="13" x14ac:dyDescent="0.15">
      <c r="A286">
        <f ca="1">IFERROR(__xludf.DUMMYFUNCTION("""COMPUTED_VALUE"""),1133)</f>
        <v>1133</v>
      </c>
      <c r="B286" t="str">
        <f ca="1">IFERROR(__xludf.DUMMYFUNCTION("""COMPUTED_VALUE"""),"Лидер")</f>
        <v>Лидер</v>
      </c>
      <c r="C286" t="str">
        <f ca="1">IFERROR(__xludf.DUMMYFUNCTION("""COMPUTED_VALUE"""),"ЕУ-Транс")</f>
        <v>ЕУ-Транс</v>
      </c>
      <c r="D286">
        <f ca="1">IFERROR(__xludf.DUMMYFUNCTION("""COMPUTED_VALUE"""),52812112)</f>
        <v>52812112</v>
      </c>
      <c r="E286" t="str">
        <f ca="1">IFERROR(__xludf.DUMMYFUNCTION("""COMPUTED_VALUE"""),"60 ПОЛУВАГОНЫ")</f>
        <v>60 ПОЛУВАГОНЫ</v>
      </c>
      <c r="F286">
        <f ca="1">IFERROR(__xludf.DUMMYFUNCTION("""COMPUTED_VALUE"""),42103)</f>
        <v>42103</v>
      </c>
      <c r="G286" t="str">
        <f ca="1">IFERROR(__xludf.DUMMYFUNCTION("""COMPUTED_VALUE"""),"ВАГОНЫ ЖД СВ")</f>
        <v>ВАГОНЫ ЖД СВ</v>
      </c>
      <c r="H286">
        <f ca="1">IFERROR(__xludf.DUMMYFUNCTION("""COMPUTED_VALUE"""),0)</f>
        <v>0</v>
      </c>
      <c r="I286">
        <f ca="1">IFERROR(__xludf.DUMMYFUNCTION("""COMPUTED_VALUE"""),3437)</f>
        <v>3437</v>
      </c>
      <c r="J286" t="str">
        <f ca="1">IFERROR(__xludf.DUMMYFUNCTION("""COMPUTED_VALUE"""),"2511 (32000-595-34750) ДАРНИЦА - ПЕНИЗЕВИЧИ")</f>
        <v>2511 (32000-595-34750) ДАРНИЦА - ПЕНИЗЕВИЧИ</v>
      </c>
      <c r="K286">
        <f ca="1">IFERROR(__xludf.DUMMYFUNCTION("""COMPUTED_VALUE"""),34750)</f>
        <v>34750</v>
      </c>
      <c r="L286" t="str">
        <f ca="1">IFERROR(__xludf.DUMMYFUNCTION("""COMPUTED_VALUE"""),"ПЕНИЗЕВИЧИ")</f>
        <v>ПЕНИЗЕВИЧИ</v>
      </c>
      <c r="M286" t="str">
        <f ca="1">IFERROR(__xludf.DUMMYFUNCTION("""COMPUTED_VALUE"""),"12.08.21 07-50")</f>
        <v>12.08.21 07-50</v>
      </c>
      <c r="N286" t="str">
        <f ca="1">IFERROR(__xludf.DUMMYFUNCTION("""COMPUTED_VALUE"""),"98 ОТОТ")</f>
        <v>98 ОТОТ</v>
      </c>
      <c r="O286">
        <f ca="1">IFERROR(__xludf.DUMMYFUNCTION("""COMPUTED_VALUE"""),34750)</f>
        <v>34750</v>
      </c>
      <c r="P286" t="str">
        <f ca="1">IFERROR(__xludf.DUMMYFUNCTION("""COMPUTED_VALUE"""),"ПЕНИЗЕВИЧИ")</f>
        <v>ПЕНИЗЕВИЧИ</v>
      </c>
      <c r="Q286">
        <f ca="1">IFERROR(__xludf.DUMMYFUNCTION("""COMPUTED_VALUE"""),49870)</f>
        <v>49870</v>
      </c>
      <c r="R286" t="str">
        <f ca="1">IFERROR(__xludf.DUMMYFUNCTION("""COMPUTED_VALUE"""),"РУБЕЖНОЕ")</f>
        <v>РУБЕЖНОЕ</v>
      </c>
      <c r="S286" t="str">
        <f ca="1">IFERROR(__xludf.DUMMYFUNCTION("""COMPUTED_VALUE"""),"04.08.21 22-00")</f>
        <v>04.08.21 22-00</v>
      </c>
      <c r="T286">
        <f ca="1">IFERROR(__xludf.DUMMYFUNCTION("""COMPUTED_VALUE"""),2992)</f>
        <v>2992</v>
      </c>
      <c r="U286" t="str">
        <f ca="1">IFERROR(__xludf.DUMMYFUNCTION("""COMPUTED_VALUE"""),"07.07.2022 ДР")</f>
        <v>07.07.2022 ДР</v>
      </c>
      <c r="Z286" t="str">
        <f ca="1">IFERROR(__xludf.DUMMYFUNCTION("""COMPUTED_VALUE"""),"ООО «ЕУ-Транс»")</f>
        <v>ООО «ЕУ-Транс»</v>
      </c>
      <c r="AA286" t="str">
        <f ca="1">IFERROR(__xludf.DUMMYFUNCTION("""COMPUTED_VALUE"""),"12-757")</f>
        <v>12-757</v>
      </c>
      <c r="AB286" t="str">
        <f ca="1">IFERROR(__xludf.DUMMYFUNCTION("""COMPUTED_VALUE"""),"32 Ю-ЗАП")</f>
        <v>32 Ю-ЗАП</v>
      </c>
      <c r="AC286" t="str">
        <f ca="1">IFERROR(__xludf.DUMMYFUNCTION("""COMPUTED_VALUE"""),"33000 ЖМЕРИНКА")</f>
        <v>33000 ЖМЕРИНКА</v>
      </c>
      <c r="AD286" t="str">
        <f ca="1">IFERROR(__xludf.DUMMYFUNCTION("""COMPUTED_VALUE"""),"30.09.20 15-42")</f>
        <v>30.09.20 15-42</v>
      </c>
      <c r="AE286" t="str">
        <f ca="1">IFERROR(__xludf.DUMMYFUNCTION("""COMPUTED_VALUE"""),"101")</f>
        <v>101</v>
      </c>
      <c r="AF286" t="str">
        <f ca="1">IFERROR(__xludf.DUMMYFUNCTION("""COMPUTED_VALUE"""),"32 Ю-ЗАП")</f>
        <v>32 Ю-ЗАП</v>
      </c>
      <c r="AG286" t="str">
        <f ca="1">IFERROR(__xludf.DUMMYFUNCTION("""COMPUTED_VALUE"""),"33000 ЖМЕРИНКА")</f>
        <v>33000 ЖМЕРИНКА</v>
      </c>
      <c r="AH286" t="str">
        <f ca="1">IFERROR(__xludf.DUMMYFUNCTION("""COMPUTED_VALUE"""),"12.10.20 11-06")</f>
        <v>12.10.20 11-06</v>
      </c>
      <c r="AI286" s="21">
        <f ca="1">IFERROR(__xludf.DUMMYFUNCTION("""COMPUTED_VALUE"""),44420.357662037)</f>
        <v>44420.357662037</v>
      </c>
    </row>
    <row r="287" spans="1:35" ht="13" x14ac:dyDescent="0.15">
      <c r="A287">
        <f ca="1">IFERROR(__xludf.DUMMYFUNCTION("""COMPUTED_VALUE"""),1134)</f>
        <v>1134</v>
      </c>
      <c r="B287" t="str">
        <f ca="1">IFERROR(__xludf.DUMMYFUNCTION("""COMPUTED_VALUE"""),"Техрейс")</f>
        <v>Техрейс</v>
      </c>
      <c r="C287" t="str">
        <f ca="1">IFERROR(__xludf.DUMMYFUNCTION("""COMPUTED_VALUE"""),"ЕУ-Транс")</f>
        <v>ЕУ-Транс</v>
      </c>
      <c r="D287">
        <f ca="1">IFERROR(__xludf.DUMMYFUNCTION("""COMPUTED_VALUE"""),60029493)</f>
        <v>60029493</v>
      </c>
      <c r="E287" t="str">
        <f ca="1">IFERROR(__xludf.DUMMYFUNCTION("""COMPUTED_VALUE"""),"60 ПОЛУВАГОНЫ")</f>
        <v>60 ПОЛУВАГОНЫ</v>
      </c>
      <c r="F287">
        <f ca="1">IFERROR(__xludf.DUMMYFUNCTION("""COMPUTED_VALUE"""),14109)</f>
        <v>14109</v>
      </c>
      <c r="G287" t="str">
        <f ca="1">IFERROR(__xludf.DUMMYFUNCTION("""COMPUTED_VALUE"""),"ГЕМАТИТ")</f>
        <v>ГЕМАТИТ</v>
      </c>
      <c r="H287">
        <f ca="1">IFERROR(__xludf.DUMMYFUNCTION("""COMPUTED_VALUE"""),70)</f>
        <v>70</v>
      </c>
      <c r="I287">
        <f ca="1">IFERROR(__xludf.DUMMYFUNCTION("""COMPUTED_VALUE"""),5786)</f>
        <v>5786</v>
      </c>
      <c r="J287" t="str">
        <f ca="1">IFERROR(__xludf.DUMMYFUNCTION("""COMPUTED_VALUE"""),"2760 (40050-083-46720) БЕРЕГОВАЯ - КРИВОЙ РОГ")</f>
        <v>2760 (40050-083-46720) БЕРЕГОВАЯ - КРИВОЙ РОГ</v>
      </c>
      <c r="K287">
        <f ca="1">IFERROR(__xludf.DUMMYFUNCTION("""COMPUTED_VALUE"""),40050)</f>
        <v>40050</v>
      </c>
      <c r="L287" t="str">
        <f ca="1">IFERROR(__xludf.DUMMYFUNCTION("""COMPUTED_VALUE"""),"БЕРЕГОВАЯ")</f>
        <v>БЕРЕГОВАЯ</v>
      </c>
      <c r="M287" t="str">
        <f ca="1">IFERROR(__xludf.DUMMYFUNCTION("""COMPUTED_VALUE"""),"12.08.21 05-00")</f>
        <v>12.08.21 05-00</v>
      </c>
      <c r="N287" t="str">
        <f ca="1">IFERROR(__xludf.DUMMYFUNCTION("""COMPUTED_VALUE"""),"21 ВЫГ2")</f>
        <v>21 ВЫГ2</v>
      </c>
      <c r="O287">
        <f ca="1">IFERROR(__xludf.DUMMYFUNCTION("""COMPUTED_VALUE"""),40060)</f>
        <v>40060</v>
      </c>
      <c r="P287" t="str">
        <f ca="1">IFERROR(__xludf.DUMMYFUNCTION("""COMPUTED_VALUE"""),"БЕРЕГОВАЯ-Э")</f>
        <v>БЕРЕГОВАЯ-Э</v>
      </c>
      <c r="Q287">
        <f ca="1">IFERROR(__xludf.DUMMYFUNCTION("""COMPUTED_VALUE"""),46720)</f>
        <v>46720</v>
      </c>
      <c r="R287" t="str">
        <f ca="1">IFERROR(__xludf.DUMMYFUNCTION("""COMPUTED_VALUE"""),"КРИВОЙ РОГ")</f>
        <v>КРИВОЙ РОГ</v>
      </c>
      <c r="S287" t="str">
        <f ca="1">IFERROR(__xludf.DUMMYFUNCTION("""COMPUTED_VALUE"""),"10.08.21 10-20")</f>
        <v>10.08.21 10-20</v>
      </c>
      <c r="U287" t="str">
        <f ca="1">IFERROR(__xludf.DUMMYFUNCTION("""COMPUTED_VALUE"""),"30.06.2024 ДР")</f>
        <v>30.06.2024 ДР</v>
      </c>
      <c r="Z287" t="str">
        <f ca="1">IFERROR(__xludf.DUMMYFUNCTION("""COMPUTED_VALUE"""),"ООО «ЕУ-Транс»")</f>
        <v>ООО «ЕУ-Транс»</v>
      </c>
      <c r="AA287" t="str">
        <f ca="1">IFERROR(__xludf.DUMMYFUNCTION("""COMPUTED_VALUE"""),"12-127")</f>
        <v>12-127</v>
      </c>
      <c r="AB287" t="str">
        <f ca="1">IFERROR(__xludf.DUMMYFUNCTION("""COMPUTED_VALUE"""),"45 ПРИДН")</f>
        <v>45 ПРИДН</v>
      </c>
      <c r="AC287" t="str">
        <f ca="1">IFERROR(__xludf.DUMMYFUNCTION("""COMPUTED_VALUE"""),"46720 КРИВОЙ РОГ")</f>
        <v>46720 КРИВОЙ РОГ</v>
      </c>
      <c r="AD287" t="str">
        <f ca="1">IFERROR(__xludf.DUMMYFUNCTION("""COMPUTED_VALUE"""),"05.08.21 07-30")</f>
        <v>05.08.21 07-30</v>
      </c>
      <c r="AE287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87" t="str">
        <f ca="1">IFERROR(__xludf.DUMMYFUNCTION("""COMPUTED_VALUE"""),"45 ПРИДН")</f>
        <v>45 ПРИДН</v>
      </c>
      <c r="AG287" t="str">
        <f ca="1">IFERROR(__xludf.DUMMYFUNCTION("""COMPUTED_VALUE"""),"46720 КРИВОЙ РОГ")</f>
        <v>46720 КРИВОЙ РОГ</v>
      </c>
      <c r="AH287" t="str">
        <f ca="1">IFERROR(__xludf.DUMMYFUNCTION("""COMPUTED_VALUE"""),"06.08.21 01-00")</f>
        <v>06.08.21 01-00</v>
      </c>
      <c r="AI287" s="21">
        <f ca="1">IFERROR(__xludf.DUMMYFUNCTION("""COMPUTED_VALUE"""),44420.357662037)</f>
        <v>44420.357662037</v>
      </c>
    </row>
    <row r="288" spans="1:35" ht="13" x14ac:dyDescent="0.15">
      <c r="A288">
        <f ca="1">IFERROR(__xludf.DUMMYFUNCTION("""COMPUTED_VALUE"""),1136)</f>
        <v>1136</v>
      </c>
      <c r="B288" t="str">
        <f ca="1">IFERROR(__xludf.DUMMYFUNCTION("""COMPUTED_VALUE"""),"Техрейс")</f>
        <v>Техрейс</v>
      </c>
      <c r="C288" t="str">
        <f ca="1">IFERROR(__xludf.DUMMYFUNCTION("""COMPUTED_VALUE"""),"ЕУ-Транс")</f>
        <v>ЕУ-Транс</v>
      </c>
      <c r="D288">
        <f ca="1">IFERROR(__xludf.DUMMYFUNCTION("""COMPUTED_VALUE"""),56001993)</f>
        <v>56001993</v>
      </c>
      <c r="E288" t="str">
        <f ca="1">IFERROR(__xludf.DUMMYFUNCTION("""COMPUTED_VALUE"""),"60 ПОЛУВАГОНЫ")</f>
        <v>60 ПОЛУВАГОНЫ</v>
      </c>
      <c r="F288">
        <f ca="1">IFERROR(__xludf.DUMMYFUNCTION("""COMPUTED_VALUE"""),14109)</f>
        <v>14109</v>
      </c>
      <c r="G288" t="str">
        <f ca="1">IFERROR(__xludf.DUMMYFUNCTION("""COMPUTED_VALUE"""),"ГЕМАТИТ")</f>
        <v>ГЕМАТИТ</v>
      </c>
      <c r="H288">
        <f ca="1">IFERROR(__xludf.DUMMYFUNCTION("""COMPUTED_VALUE"""),70)</f>
        <v>70</v>
      </c>
      <c r="I288">
        <f ca="1">IFERROR(__xludf.DUMMYFUNCTION("""COMPUTED_VALUE"""),5786)</f>
        <v>5786</v>
      </c>
      <c r="J288" t="str">
        <f ca="1">IFERROR(__xludf.DUMMYFUNCTION("""COMPUTED_VALUE"""),"1619 (46720-418-40060) КРИВОЙ РОГ - БЕРЕГОВАЯ-Э")</f>
        <v>1619 (46720-418-40060) КРИВОЙ РОГ - БЕРЕГОВАЯ-Э</v>
      </c>
      <c r="K288">
        <f ca="1">IFERROR(__xludf.DUMMYFUNCTION("""COMPUTED_VALUE"""),40050)</f>
        <v>40050</v>
      </c>
      <c r="L288" t="str">
        <f ca="1">IFERROR(__xludf.DUMMYFUNCTION("""COMPUTED_VALUE"""),"БЕРЕГОВАЯ")</f>
        <v>БЕРЕГОВАЯ</v>
      </c>
      <c r="M288" t="str">
        <f ca="1">IFERROR(__xludf.DUMMYFUNCTION("""COMPUTED_VALUE"""),"11.08.21 05-00")</f>
        <v>11.08.21 05-00</v>
      </c>
      <c r="N288" t="str">
        <f ca="1">IFERROR(__xludf.DUMMYFUNCTION("""COMPUTED_VALUE"""),"97 ОКОТ")</f>
        <v>97 ОКОТ</v>
      </c>
      <c r="O288">
        <f ca="1">IFERROR(__xludf.DUMMYFUNCTION("""COMPUTED_VALUE"""),40060)</f>
        <v>40060</v>
      </c>
      <c r="P288" t="str">
        <f ca="1">IFERROR(__xludf.DUMMYFUNCTION("""COMPUTED_VALUE"""),"БЕРЕГОВАЯ-Э")</f>
        <v>БЕРЕГОВАЯ-Э</v>
      </c>
      <c r="Q288">
        <f ca="1">IFERROR(__xludf.DUMMYFUNCTION("""COMPUTED_VALUE"""),46720)</f>
        <v>46720</v>
      </c>
      <c r="R288" t="str">
        <f ca="1">IFERROR(__xludf.DUMMYFUNCTION("""COMPUTED_VALUE"""),"КРИВОЙ РОГ")</f>
        <v>КРИВОЙ РОГ</v>
      </c>
      <c r="S288" t="str">
        <f ca="1">IFERROR(__xludf.DUMMYFUNCTION("""COMPUTED_VALUE"""),"09.08.21 12-00")</f>
        <v>09.08.21 12-00</v>
      </c>
      <c r="U288" t="str">
        <f ca="1">IFERROR(__xludf.DUMMYFUNCTION("""COMPUTED_VALUE"""),"30.08.2022 ДР")</f>
        <v>30.08.2022 ДР</v>
      </c>
      <c r="Z288" t="str">
        <f ca="1">IFERROR(__xludf.DUMMYFUNCTION("""COMPUTED_VALUE"""),"ООО «ЕУ-ТРАНС»")</f>
        <v>ООО «ЕУ-ТРАНС»</v>
      </c>
      <c r="AA288" t="str">
        <f ca="1">IFERROR(__xludf.DUMMYFUNCTION("""COMPUTED_VALUE"""),"12-127")</f>
        <v>12-127</v>
      </c>
      <c r="AB288" t="str">
        <f ca="1">IFERROR(__xludf.DUMMYFUNCTION("""COMPUTED_VALUE"""),"45 ПРИДН")</f>
        <v>45 ПРИДН</v>
      </c>
      <c r="AC288" t="str">
        <f ca="1">IFERROR(__xludf.DUMMYFUNCTION("""COMPUTED_VALUE"""),"46720 КРИВОЙ РОГ")</f>
        <v>46720 КРИВОЙ РОГ</v>
      </c>
      <c r="AD288" t="str">
        <f ca="1">IFERROR(__xludf.DUMMYFUNCTION("""COMPUTED_VALUE"""),"01.08.21 20-05")</f>
        <v>01.08.21 20-05</v>
      </c>
      <c r="AE288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88" t="str">
        <f ca="1">IFERROR(__xludf.DUMMYFUNCTION("""COMPUTED_VALUE"""),"45 ПРИДН")</f>
        <v>45 ПРИДН</v>
      </c>
      <c r="AG288" t="str">
        <f ca="1">IFERROR(__xludf.DUMMYFUNCTION("""COMPUTED_VALUE"""),"46720 КРИВОЙ РОГ")</f>
        <v>46720 КРИВОЙ РОГ</v>
      </c>
      <c r="AH288" t="str">
        <f ca="1">IFERROR(__xludf.DUMMYFUNCTION("""COMPUTED_VALUE"""),"03.08.21 02-00")</f>
        <v>03.08.21 02-00</v>
      </c>
      <c r="AI288" s="21">
        <f ca="1">IFERROR(__xludf.DUMMYFUNCTION("""COMPUTED_VALUE"""),44420.357662037)</f>
        <v>44420.357662037</v>
      </c>
    </row>
    <row r="289" spans="1:35" ht="13" x14ac:dyDescent="0.15">
      <c r="A289">
        <f ca="1">IFERROR(__xludf.DUMMYFUNCTION("""COMPUTED_VALUE"""),1137)</f>
        <v>1137</v>
      </c>
      <c r="B289" t="str">
        <f ca="1">IFERROR(__xludf.DUMMYFUNCTION("""COMPUTED_VALUE"""),"Техрейс")</f>
        <v>Техрейс</v>
      </c>
      <c r="C289" t="str">
        <f ca="1">IFERROR(__xludf.DUMMYFUNCTION("""COMPUTED_VALUE"""),"ЕУ-Транс")</f>
        <v>ЕУ-Транс</v>
      </c>
      <c r="D289">
        <f ca="1">IFERROR(__xludf.DUMMYFUNCTION("""COMPUTED_VALUE"""),60029592)</f>
        <v>60029592</v>
      </c>
      <c r="E289" t="str">
        <f ca="1">IFERROR(__xludf.DUMMYFUNCTION("""COMPUTED_VALUE"""),"60 ПОЛУВАГОНЫ")</f>
        <v>60 ПОЛУВАГОНЫ</v>
      </c>
      <c r="F289">
        <f ca="1">IFERROR(__xludf.DUMMYFUNCTION("""COMPUTED_VALUE"""),42119)</f>
        <v>42119</v>
      </c>
      <c r="G289" t="str">
        <f ca="1">IFERROR(__xludf.DUMMYFUNCTION("""COMPUTED_VALUE"""),"ВАГОНЫ ЖД РЕМОН")</f>
        <v>ВАГОНЫ ЖД РЕМОН</v>
      </c>
      <c r="H289">
        <f ca="1">IFERROR(__xludf.DUMMYFUNCTION("""COMPUTED_VALUE"""),0)</f>
        <v>0</v>
      </c>
      <c r="I289">
        <f ca="1">IFERROR(__xludf.DUMMYFUNCTION("""COMPUTED_VALUE"""),9796)</f>
        <v>9796</v>
      </c>
      <c r="J289" t="str">
        <f ca="1">IFERROR(__xludf.DUMMYFUNCTION("""COMPUTED_VALUE"""),"3149 (41000-751-41190) ЗНАМЕНКА - ПОМОШНАЯ")</f>
        <v>3149 (41000-751-41190) ЗНАМЕНКА - ПОМОШНАЯ</v>
      </c>
      <c r="K289">
        <f ca="1">IFERROR(__xludf.DUMMYFUNCTION("""COMPUTED_VALUE"""),41190)</f>
        <v>41190</v>
      </c>
      <c r="L289" t="str">
        <f ca="1">IFERROR(__xludf.DUMMYFUNCTION("""COMPUTED_VALUE"""),"ПОМОШНАЯ")</f>
        <v>ПОМОШНАЯ</v>
      </c>
      <c r="M289" t="str">
        <f ca="1">IFERROR(__xludf.DUMMYFUNCTION("""COMPUTED_VALUE"""),"29.07.21 10-01")</f>
        <v>29.07.21 10-01</v>
      </c>
      <c r="N289" t="str">
        <f ca="1">IFERROR(__xludf.DUMMYFUNCTION("""COMPUTED_VALUE"""),"53 ВУ23")</f>
        <v>53 ВУ23</v>
      </c>
      <c r="O289">
        <f ca="1">IFERROR(__xludf.DUMMYFUNCTION("""COMPUTED_VALUE"""),41190)</f>
        <v>41190</v>
      </c>
      <c r="P289" t="str">
        <f ca="1">IFERROR(__xludf.DUMMYFUNCTION("""COMPUTED_VALUE"""),"ПОМОШНАЯ")</f>
        <v>ПОМОШНАЯ</v>
      </c>
      <c r="Q289">
        <f ca="1">IFERROR(__xludf.DUMMYFUNCTION("""COMPUTED_VALUE"""),41000)</f>
        <v>41000</v>
      </c>
      <c r="R289" t="str">
        <f ca="1">IFERROR(__xludf.DUMMYFUNCTION("""COMPUTED_VALUE"""),"ЗНАМЕНКА")</f>
        <v>ЗНАМЕНКА</v>
      </c>
      <c r="S289" t="str">
        <f ca="1">IFERROR(__xludf.DUMMYFUNCTION("""COMPUTED_VALUE"""),"27.05.21 03-10")</f>
        <v>27.05.21 03-10</v>
      </c>
      <c r="T289">
        <f ca="1">IFERROR(__xludf.DUMMYFUNCTION("""COMPUTED_VALUE"""),9792)</f>
        <v>9792</v>
      </c>
      <c r="U289" t="str">
        <f ca="1">IFERROR(__xludf.DUMMYFUNCTION("""COMPUTED_VALUE"""),"21.03.2021 ДР")</f>
        <v>21.03.2021 ДР</v>
      </c>
      <c r="Z289" t="str">
        <f ca="1">IFERROR(__xludf.DUMMYFUNCTION("""COMPUTED_VALUE"""),"ООО «ЕУ-Транс»")</f>
        <v>ООО «ЕУ-Транс»</v>
      </c>
      <c r="AA289" t="str">
        <f ca="1">IFERROR(__xludf.DUMMYFUNCTION("""COMPUTED_VALUE"""),"12-127")</f>
        <v>12-127</v>
      </c>
      <c r="AB289" t="str">
        <f ca="1">IFERROR(__xludf.DUMMYFUNCTION("""COMPUTED_VALUE"""),"40 ОД")</f>
        <v>40 ОД</v>
      </c>
      <c r="AC289" t="str">
        <f ca="1">IFERROR(__xludf.DUMMYFUNCTION("""COMPUTED_VALUE"""),"41190 ПОМОШНАЯ")</f>
        <v>41190 ПОМОШНАЯ</v>
      </c>
      <c r="AD289" t="str">
        <f ca="1">IFERROR(__xludf.DUMMYFUNCTION("""COMPUTED_VALUE"""),"29.07.21 10-01")</f>
        <v>29.07.21 10-01</v>
      </c>
      <c r="AE289" t="str">
        <f ca="1">IFERROR(__xludf.DUMMYFUNCTION("""COMPUTED_VALUE"""),"570 ИCТEК КAЛЕНДАРНЫЙ CPOК ДEПOВCКОГО PEМOНТA")</f>
        <v>570 ИCТEК КAЛЕНДАРНЫЙ CPOК ДEПOВCКОГО PEМOНТA</v>
      </c>
      <c r="AF289" t="str">
        <f ca="1">IFERROR(__xludf.DUMMYFUNCTION("""COMPUTED_VALUE"""),"45 ПРИДН")</f>
        <v>45 ПРИДН</v>
      </c>
      <c r="AG289" t="str">
        <f ca="1">IFERROR(__xludf.DUMMYFUNCTION("""COMPUTED_VALUE"""),"47660 ДНЕПРОРУДНАЯ")</f>
        <v>47660 ДНЕПРОРУДНАЯ</v>
      </c>
      <c r="AH289" t="str">
        <f ca="1">IFERROR(__xludf.DUMMYFUNCTION("""COMPUTED_VALUE"""),"21.02.21 17-00")</f>
        <v>21.02.21 17-00</v>
      </c>
      <c r="AI289" s="21">
        <f ca="1">IFERROR(__xludf.DUMMYFUNCTION("""COMPUTED_VALUE"""),44420.357662037)</f>
        <v>44420.357662037</v>
      </c>
    </row>
    <row r="290" spans="1:35" ht="13" x14ac:dyDescent="0.15">
      <c r="A290">
        <f ca="1">IFERROR(__xludf.DUMMYFUNCTION("""COMPUTED_VALUE"""),1138)</f>
        <v>1138</v>
      </c>
      <c r="B290" t="str">
        <f ca="1">IFERROR(__xludf.DUMMYFUNCTION("""COMPUTED_VALUE"""),"Техрейс")</f>
        <v>Техрейс</v>
      </c>
      <c r="C290" t="str">
        <f ca="1">IFERROR(__xludf.DUMMYFUNCTION("""COMPUTED_VALUE"""),"ЕУ-Транс")</f>
        <v>ЕУ-Транс</v>
      </c>
      <c r="D290">
        <f ca="1">IFERROR(__xludf.DUMMYFUNCTION("""COMPUTED_VALUE"""),60029295)</f>
        <v>60029295</v>
      </c>
      <c r="E290" t="str">
        <f ca="1">IFERROR(__xludf.DUMMYFUNCTION("""COMPUTED_VALUE"""),"60 ПОЛУВАГОНЫ")</f>
        <v>60 ПОЛУВАГОНЫ</v>
      </c>
      <c r="F290">
        <f ca="1">IFERROR(__xludf.DUMMYFUNCTION("""COMPUTED_VALUE"""),42103)</f>
        <v>42103</v>
      </c>
      <c r="G290" t="str">
        <f ca="1">IFERROR(__xludf.DUMMYFUNCTION("""COMPUTED_VALUE"""),"ВАГОНЫ ЖД СВ")</f>
        <v>ВАГОНЫ ЖД СВ</v>
      </c>
      <c r="H290">
        <f ca="1">IFERROR(__xludf.DUMMYFUNCTION("""COMPUTED_VALUE"""),0)</f>
        <v>0</v>
      </c>
      <c r="I290">
        <f ca="1">IFERROR(__xludf.DUMMYFUNCTION("""COMPUTED_VALUE"""),5343)</f>
        <v>5343</v>
      </c>
      <c r="J290" t="str">
        <f ca="1">IFERROR(__xludf.DUMMYFUNCTION("""COMPUTED_VALUE"""),"2146 (40050-044-46720) БЕРЕГОВАЯ - КРИВОЙ РОГ")</f>
        <v>2146 (40050-044-46720) БЕРЕГОВАЯ - КРИВОЙ РОГ</v>
      </c>
      <c r="K290">
        <f ca="1">IFERROR(__xludf.DUMMYFUNCTION("""COMPUTED_VALUE"""),46720)</f>
        <v>46720</v>
      </c>
      <c r="L290" t="str">
        <f ca="1">IFERROR(__xludf.DUMMYFUNCTION("""COMPUTED_VALUE"""),"КРИВОЙ РОГ")</f>
        <v>КРИВОЙ РОГ</v>
      </c>
      <c r="M290" t="str">
        <f ca="1">IFERROR(__xludf.DUMMYFUNCTION("""COMPUTED_VALUE"""),"11.08.21 09-45")</f>
        <v>11.08.21 09-45</v>
      </c>
      <c r="N290" t="str">
        <f ca="1">IFERROR(__xludf.DUMMYFUNCTION("""COMPUTED_VALUE"""),"98 ОТОТ")</f>
        <v>98 ОТОТ</v>
      </c>
      <c r="O290">
        <f ca="1">IFERROR(__xludf.DUMMYFUNCTION("""COMPUTED_VALUE"""),46720)</f>
        <v>46720</v>
      </c>
      <c r="P290" t="str">
        <f ca="1">IFERROR(__xludf.DUMMYFUNCTION("""COMPUTED_VALUE"""),"КРИВОЙ РОГ")</f>
        <v>КРИВОЙ РОГ</v>
      </c>
      <c r="Q290">
        <f ca="1">IFERROR(__xludf.DUMMYFUNCTION("""COMPUTED_VALUE"""),40050)</f>
        <v>40050</v>
      </c>
      <c r="R290" t="str">
        <f ca="1">IFERROR(__xludf.DUMMYFUNCTION("""COMPUTED_VALUE"""),"БЕРЕГОВАЯ")</f>
        <v>БЕРЕГОВАЯ</v>
      </c>
      <c r="S290" t="str">
        <f ca="1">IFERROR(__xludf.DUMMYFUNCTION("""COMPUTED_VALUE"""),"08.08.21 22-10")</f>
        <v>08.08.21 22-10</v>
      </c>
      <c r="T290">
        <f ca="1">IFERROR(__xludf.DUMMYFUNCTION("""COMPUTED_VALUE"""),8200)</f>
        <v>8200</v>
      </c>
      <c r="U290" t="str">
        <f ca="1">IFERROR(__xludf.DUMMYFUNCTION("""COMPUTED_VALUE"""),"30.06.2024 ДР")</f>
        <v>30.06.2024 ДР</v>
      </c>
      <c r="Z290" t="str">
        <f ca="1">IFERROR(__xludf.DUMMYFUNCTION("""COMPUTED_VALUE"""),"ООО «ЕУ-Транс»")</f>
        <v>ООО «ЕУ-Транс»</v>
      </c>
      <c r="AA290" t="str">
        <f ca="1">IFERROR(__xludf.DUMMYFUNCTION("""COMPUTED_VALUE"""),"12-127")</f>
        <v>12-127</v>
      </c>
      <c r="AB290" t="str">
        <f ca="1">IFERROR(__xludf.DUMMYFUNCTION("""COMPUTED_VALUE"""),"40 ОД")</f>
        <v>40 ОД</v>
      </c>
      <c r="AC290" t="str">
        <f ca="1">IFERROR(__xludf.DUMMYFUNCTION("""COMPUTED_VALUE"""),"41000 ЗНАМЕНКА")</f>
        <v>41000 ЗНАМЕНКА</v>
      </c>
      <c r="AD290" t="str">
        <f ca="1">IFERROR(__xludf.DUMMYFUNCTION("""COMPUTED_VALUE"""),"28.03.21 09-10")</f>
        <v>28.03.21 09-10</v>
      </c>
      <c r="AE290" t="str">
        <f ca="1">IFERROR(__xludf.DUMMYFUNCTION("""COMPUTED_VALUE"""),"570 ИCТEК КAЛЕНДАРНЫЙ CPOК ДEПOВCКОГО PEМOНТA")</f>
        <v>570 ИCТEК КAЛЕНДАРНЫЙ CPOК ДEПOВCКОГО PEМOНТA</v>
      </c>
      <c r="AF290" t="str">
        <f ca="1">IFERROR(__xludf.DUMMYFUNCTION("""COMPUTED_VALUE"""),"40 ОД")</f>
        <v>40 ОД</v>
      </c>
      <c r="AG290" t="str">
        <f ca="1">IFERROR(__xludf.DUMMYFUNCTION("""COMPUTED_VALUE"""),"41000 ЗНАМЕНКА")</f>
        <v>41000 ЗНАМЕНКА</v>
      </c>
      <c r="AH290" t="str">
        <f ca="1">IFERROR(__xludf.DUMMYFUNCTION("""COMPUTED_VALUE"""),"30.06.21 18-20")</f>
        <v>30.06.21 18-20</v>
      </c>
      <c r="AI290" s="21">
        <f ca="1">IFERROR(__xludf.DUMMYFUNCTION("""COMPUTED_VALUE"""),44420.357662037)</f>
        <v>44420.357662037</v>
      </c>
    </row>
    <row r="291" spans="1:35" ht="13" x14ac:dyDescent="0.15">
      <c r="A291">
        <f ca="1">IFERROR(__xludf.DUMMYFUNCTION("""COMPUTED_VALUE"""),1139)</f>
        <v>1139</v>
      </c>
      <c r="B291" t="str">
        <f ca="1">IFERROR(__xludf.DUMMYFUNCTION("""COMPUTED_VALUE"""),"Техрейс")</f>
        <v>Техрейс</v>
      </c>
      <c r="C291" t="str">
        <f ca="1">IFERROR(__xludf.DUMMYFUNCTION("""COMPUTED_VALUE"""),"ЕУ-Транс")</f>
        <v>ЕУ-Транс</v>
      </c>
      <c r="D291">
        <f ca="1">IFERROR(__xludf.DUMMYFUNCTION("""COMPUTED_VALUE"""),60028792)</f>
        <v>60028792</v>
      </c>
      <c r="E291" t="str">
        <f ca="1">IFERROR(__xludf.DUMMYFUNCTION("""COMPUTED_VALUE"""),"60 ПОЛУВАГОНЫ")</f>
        <v>60 ПОЛУВАГОНЫ</v>
      </c>
      <c r="F291">
        <f ca="1">IFERROR(__xludf.DUMMYFUNCTION("""COMPUTED_VALUE"""),42119)</f>
        <v>42119</v>
      </c>
      <c r="G291" t="str">
        <f ca="1">IFERROR(__xludf.DUMMYFUNCTION("""COMPUTED_VALUE"""),"ВАГОНЫ ЖД РЕМОН")</f>
        <v>ВАГОНЫ ЖД РЕМОН</v>
      </c>
      <c r="H291">
        <f ca="1">IFERROR(__xludf.DUMMYFUNCTION("""COMPUTED_VALUE"""),0)</f>
        <v>0</v>
      </c>
      <c r="I291">
        <f ca="1">IFERROR(__xludf.DUMMYFUNCTION("""COMPUTED_VALUE"""),9796)</f>
        <v>9796</v>
      </c>
      <c r="J291" t="str">
        <f ca="1">IFERROR(__xludf.DUMMYFUNCTION("""COMPUTED_VALUE"""),"5555 (41190-616-00030) ПОМОШНАЯ -")</f>
        <v>5555 (41190-616-00030) ПОМОШНАЯ -</v>
      </c>
      <c r="K291">
        <f ca="1">IFERROR(__xludf.DUMMYFUNCTION("""COMPUTED_VALUE"""),41190)</f>
        <v>41190</v>
      </c>
      <c r="L291" t="str">
        <f ca="1">IFERROR(__xludf.DUMMYFUNCTION("""COMPUTED_VALUE"""),"ПОМОШНАЯ")</f>
        <v>ПОМОШНАЯ</v>
      </c>
      <c r="M291" t="str">
        <f ca="1">IFERROR(__xludf.DUMMYFUNCTION("""COMPUTED_VALUE"""),"11.08.21 16-30")</f>
        <v>11.08.21 16-30</v>
      </c>
      <c r="N291" t="str">
        <f ca="1">IFERROR(__xludf.DUMMYFUNCTION("""COMPUTED_VALUE"""),"63 ВУ36")</f>
        <v>63 ВУ36</v>
      </c>
      <c r="O291">
        <f ca="1">IFERROR(__xludf.DUMMYFUNCTION("""COMPUTED_VALUE"""),41190)</f>
        <v>41190</v>
      </c>
      <c r="P291" t="str">
        <f ca="1">IFERROR(__xludf.DUMMYFUNCTION("""COMPUTED_VALUE"""),"ПОМОШНАЯ")</f>
        <v>ПОМОШНАЯ</v>
      </c>
      <c r="Q291">
        <f ca="1">IFERROR(__xludf.DUMMYFUNCTION("""COMPUTED_VALUE"""),34380)</f>
        <v>34380</v>
      </c>
      <c r="R291" t="str">
        <f ca="1">IFERROR(__xludf.DUMMYFUNCTION("""COMPUTED_VALUE"""),"БЕЛАЯ ЦЕРКОВ")</f>
        <v>БЕЛАЯ ЦЕРКОВ</v>
      </c>
      <c r="S291" t="str">
        <f ca="1">IFERROR(__xludf.DUMMYFUNCTION("""COMPUTED_VALUE"""),"29.04.21 14-30")</f>
        <v>29.04.21 14-30</v>
      </c>
      <c r="T291">
        <f ca="1">IFERROR(__xludf.DUMMYFUNCTION("""COMPUTED_VALUE"""),8200)</f>
        <v>8200</v>
      </c>
      <c r="U291" t="str">
        <f ca="1">IFERROR(__xludf.DUMMYFUNCTION("""COMPUTED_VALUE"""),"13.04.2024 ТР-1")</f>
        <v>13.04.2024 ТР-1</v>
      </c>
      <c r="Z291" t="str">
        <f ca="1">IFERROR(__xludf.DUMMYFUNCTION("""COMPUTED_VALUE"""),"ООО ""ЕУ-ТРАНС""")</f>
        <v>ООО "ЕУ-ТРАНС"</v>
      </c>
      <c r="AA291" t="str">
        <f ca="1">IFERROR(__xludf.DUMMYFUNCTION("""COMPUTED_VALUE"""),"12-127")</f>
        <v>12-127</v>
      </c>
      <c r="AB291" t="str">
        <f ca="1">IFERROR(__xludf.DUMMYFUNCTION("""COMPUTED_VALUE"""),"40 ОД")</f>
        <v>40 ОД</v>
      </c>
      <c r="AC291" t="str">
        <f ca="1">IFERROR(__xludf.DUMMYFUNCTION("""COMPUTED_VALUE"""),"41190 ПОМОШНАЯ")</f>
        <v>41190 ПОМОШНАЯ</v>
      </c>
      <c r="AD291" t="str">
        <f ca="1">IFERROR(__xludf.DUMMYFUNCTION("""COMPUTED_VALUE"""),"04.05.21 13-00")</f>
        <v>04.05.21 13-00</v>
      </c>
      <c r="AE291" t="str">
        <f ca="1">IFERROR(__xludf.DUMMYFUNCTION("""COMPUTED_VALUE"""),"570 ИCТEК КAЛЕНДАРНЫЙ CPOК ДEПOВCКОГО PEМOНТA")</f>
        <v>570 ИCТEК КAЛЕНДАРНЫЙ CPOК ДEПOВCКОГО PEМOНТA</v>
      </c>
      <c r="AF291" t="str">
        <f ca="1">IFERROR(__xludf.DUMMYFUNCTION("""COMPUTED_VALUE"""),"40 ОД")</f>
        <v>40 ОД</v>
      </c>
      <c r="AG291" t="str">
        <f ca="1">IFERROR(__xludf.DUMMYFUNCTION("""COMPUTED_VALUE"""),"41190 ПОМОШНАЯ")</f>
        <v>41190 ПОМОШНАЯ</v>
      </c>
      <c r="AH291" t="str">
        <f ca="1">IFERROR(__xludf.DUMMYFUNCTION("""COMPUTED_VALUE"""),"11.08.21 16-30")</f>
        <v>11.08.21 16-30</v>
      </c>
      <c r="AI291" s="21">
        <f ca="1">IFERROR(__xludf.DUMMYFUNCTION("""COMPUTED_VALUE"""),44420.357662037)</f>
        <v>44420.357662037</v>
      </c>
    </row>
    <row r="292" spans="1:35" ht="13" x14ac:dyDescent="0.15">
      <c r="A292">
        <f ca="1">IFERROR(__xludf.DUMMYFUNCTION("""COMPUTED_VALUE"""),1149)</f>
        <v>1149</v>
      </c>
      <c r="B292" t="str">
        <f ca="1">IFERROR(__xludf.DUMMYFUNCTION("""COMPUTED_VALUE"""),"Техрейс")</f>
        <v>Техрейс</v>
      </c>
      <c r="C292" t="str">
        <f ca="1">IFERROR(__xludf.DUMMYFUNCTION("""COMPUTED_VALUE"""),"Трейн Інвестмент")</f>
        <v>Трейн Інвестмент</v>
      </c>
      <c r="D292">
        <f ca="1">IFERROR(__xludf.DUMMYFUNCTION("""COMPUTED_VALUE"""),54894357)</f>
        <v>54894357</v>
      </c>
      <c r="E292" t="str">
        <f ca="1">IFERROR(__xludf.DUMMYFUNCTION("""COMPUTED_VALUE"""),"60 ПОЛУВАГОНЫ")</f>
        <v>60 ПОЛУВАГОНЫ</v>
      </c>
      <c r="F292">
        <f ca="1">IFERROR(__xludf.DUMMYFUNCTION("""COMPUTED_VALUE"""),24133)</f>
        <v>24133</v>
      </c>
      <c r="G292" t="str">
        <f ca="1">IFERROR(__xludf.DUMMYFUNCTION("""COMPUTED_VALUE"""),"КАМЕНЬ ИЗВЕСТ")</f>
        <v>КАМЕНЬ ИЗВЕСТ</v>
      </c>
      <c r="H292">
        <f ca="1">IFERROR(__xludf.DUMMYFUNCTION("""COMPUTED_VALUE"""),68)</f>
        <v>68</v>
      </c>
      <c r="I292">
        <f ca="1">IFERROR(__xludf.DUMMYFUNCTION("""COMPUTED_VALUE"""),2421)</f>
        <v>2421</v>
      </c>
      <c r="J292" t="str">
        <f ca="1">IFERROR(__xludf.DUMMYFUNCTION("""COMPUTED_VALUE"""),"3105 (41780-031-41510) ХЕРСОН - НИКОЛАЕВ")</f>
        <v>3105 (41780-031-41510) ХЕРСОН - НИКОЛАЕВ</v>
      </c>
      <c r="K292">
        <f ca="1">IFERROR(__xludf.DUMMYFUNCTION("""COMPUTED_VALUE"""),41510)</f>
        <v>41510</v>
      </c>
      <c r="L292" t="str">
        <f ca="1">IFERROR(__xludf.DUMMYFUNCTION("""COMPUTED_VALUE"""),"НИКОЛАЕВ")</f>
        <v>НИКОЛАЕВ</v>
      </c>
      <c r="M292" t="str">
        <f ca="1">IFERROR(__xludf.DUMMYFUNCTION("""COMPUTED_VALUE"""),"11.08.21 12-10")</f>
        <v>11.08.21 12-10</v>
      </c>
      <c r="N292" t="str">
        <f ca="1">IFERROR(__xludf.DUMMYFUNCTION("""COMPUTED_VALUE"""),"04 РАСФ")</f>
        <v>04 РАСФ</v>
      </c>
      <c r="O292">
        <f ca="1">IFERROR(__xludf.DUMMYFUNCTION("""COMPUTED_VALUE"""),32210)</f>
        <v>32210</v>
      </c>
      <c r="P292" t="str">
        <f ca="1">IFERROR(__xludf.DUMMYFUNCTION("""COMPUTED_VALUE"""),"БУЧА")</f>
        <v>БУЧА</v>
      </c>
      <c r="Q292">
        <f ca="1">IFERROR(__xludf.DUMMYFUNCTION("""COMPUTED_VALUE"""),41790)</f>
        <v>41790</v>
      </c>
      <c r="R292" t="str">
        <f ca="1">IFERROR(__xludf.DUMMYFUNCTION("""COMPUTED_VALUE"""),"ХЕРСОН-ПОРТ")</f>
        <v>ХЕРСОН-ПОРТ</v>
      </c>
      <c r="S292" t="str">
        <f ca="1">IFERROR(__xludf.DUMMYFUNCTION("""COMPUTED_VALUE"""),"08.08.21 17-15")</f>
        <v>08.08.21 17-15</v>
      </c>
      <c r="T292">
        <f ca="1">IFERROR(__xludf.DUMMYFUNCTION("""COMPUTED_VALUE"""),9120)</f>
        <v>9120</v>
      </c>
      <c r="U292" t="str">
        <f ca="1">IFERROR(__xludf.DUMMYFUNCTION("""COMPUTED_VALUE"""),"17.01.2024 ДР")</f>
        <v>17.01.2024 ДР</v>
      </c>
      <c r="Z292" t="str">
        <f ca="1">IFERROR(__xludf.DUMMYFUNCTION("""COMPUTED_VALUE"""),"ООО «Ленагропром»")</f>
        <v>ООО «Ленагропром»</v>
      </c>
      <c r="AA292" t="str">
        <f ca="1">IFERROR(__xludf.DUMMYFUNCTION("""COMPUTED_VALUE"""),"12-132")</f>
        <v>12-132</v>
      </c>
      <c r="AB292" t="str">
        <f ca="1">IFERROR(__xludf.DUMMYFUNCTION("""COMPUTED_VALUE"""),"32 Ю-ЗАП")</f>
        <v>32 Ю-ЗАП</v>
      </c>
      <c r="AC292" t="str">
        <f ca="1">IFERROR(__xludf.DUMMYFUNCTION("""COMPUTED_VALUE"""),"33000 ЖМЕРИНКА")</f>
        <v>33000 ЖМЕРИНКА</v>
      </c>
      <c r="AD292" t="str">
        <f ca="1">IFERROR(__xludf.DUMMYFUNCTION("""COMPUTED_VALUE"""),"10.01.21 14-13")</f>
        <v>10.01.21 14-13</v>
      </c>
      <c r="AE292" t="str">
        <f ca="1">IFERROR(__xludf.DUMMYFUNCTION("""COMPUTED_VALUE"""),"570 ИCТEК КAЛЕНДАРНЫЙ CPOК ДEПOВCКОГО PEМOНТA")</f>
        <v>570 ИCТEК КAЛЕНДАРНЫЙ CPOК ДEПOВCКОГО PEМOНТA</v>
      </c>
      <c r="AF292" t="str">
        <f ca="1">IFERROR(__xludf.DUMMYFUNCTION("""COMPUTED_VALUE"""),"32 Ю-ЗАП")</f>
        <v>32 Ю-ЗАП</v>
      </c>
      <c r="AG292" t="str">
        <f ca="1">IFERROR(__xludf.DUMMYFUNCTION("""COMPUTED_VALUE"""),"33000 ЖМЕРИНКА")</f>
        <v>33000 ЖМЕРИНКА</v>
      </c>
      <c r="AH292" t="str">
        <f ca="1">IFERROR(__xludf.DUMMYFUNCTION("""COMPUTED_VALUE"""),"17.01.21 17-55")</f>
        <v>17.01.21 17-55</v>
      </c>
      <c r="AI292" s="21">
        <f ca="1">IFERROR(__xludf.DUMMYFUNCTION("""COMPUTED_VALUE"""),44420.357662037)</f>
        <v>44420.357662037</v>
      </c>
    </row>
    <row r="293" spans="1:35" ht="13" x14ac:dyDescent="0.15">
      <c r="A293">
        <f ca="1">IFERROR(__xludf.DUMMYFUNCTION("""COMPUTED_VALUE"""),1150)</f>
        <v>1150</v>
      </c>
      <c r="B293" t="str">
        <f ca="1">IFERROR(__xludf.DUMMYFUNCTION("""COMPUTED_VALUE"""),"Вектор Транс")</f>
        <v>Вектор Транс</v>
      </c>
      <c r="C293" t="str">
        <f ca="1">IFERROR(__xludf.DUMMYFUNCTION("""COMPUTED_VALUE"""),"ЕУ-Транс")</f>
        <v>ЕУ-Транс</v>
      </c>
      <c r="D293">
        <f ca="1">IFERROR(__xludf.DUMMYFUNCTION("""COMPUTED_VALUE"""),56730815)</f>
        <v>56730815</v>
      </c>
      <c r="E293" t="str">
        <f ca="1">IFERROR(__xludf.DUMMYFUNCTION("""COMPUTED_VALUE"""),"68 ГЛУХОДОННЫЕ")</f>
        <v>68 ГЛУХОДОННЫЕ</v>
      </c>
      <c r="F293">
        <f ca="1">IFERROR(__xludf.DUMMYFUNCTION("""COMPUTED_VALUE"""),23239)</f>
        <v>23239</v>
      </c>
      <c r="G293" t="str">
        <f ca="1">IFERROR(__xludf.DUMMYFUNCTION("""COMPUTED_VALUE"""),"ЩЕБЕНЬ ГРАНИТ")</f>
        <v>ЩЕБЕНЬ ГРАНИТ</v>
      </c>
      <c r="H293">
        <f ca="1">IFERROR(__xludf.DUMMYFUNCTION("""COMPUTED_VALUE"""),71)</f>
        <v>71</v>
      </c>
      <c r="I293">
        <f ca="1">IFERROR(__xludf.DUMMYFUNCTION("""COMPUTED_VALUE"""),5933)</f>
        <v>5933</v>
      </c>
      <c r="J293" t="str">
        <f ca="1">IFERROR(__xludf.DUMMYFUNCTION("""COMPUTED_VALUE"""),"2001 (34000-061-37040) ШЕПЕТОВКА - КЛЕПАРОВ")</f>
        <v>2001 (34000-061-37040) ШЕПЕТОВКА - КЛЕПАРОВ</v>
      </c>
      <c r="K293">
        <f ca="1">IFERROR(__xludf.DUMMYFUNCTION("""COMPUTED_VALUE"""),34000)</f>
        <v>34000</v>
      </c>
      <c r="L293" t="str">
        <f ca="1">IFERROR(__xludf.DUMMYFUNCTION("""COMPUTED_VALUE"""),"ШЕПЕТОВКА")</f>
        <v>ШЕПЕТОВКА</v>
      </c>
      <c r="M293" t="str">
        <f ca="1">IFERROR(__xludf.DUMMYFUNCTION("""COMPUTED_VALUE"""),"12.08.21 06-41")</f>
        <v>12.08.21 06-41</v>
      </c>
      <c r="N293" t="str">
        <f ca="1">IFERROR(__xludf.DUMMYFUNCTION("""COMPUTED_VALUE"""),"05 ФОРМ")</f>
        <v>05 ФОРМ</v>
      </c>
      <c r="O293">
        <f ca="1">IFERROR(__xludf.DUMMYFUNCTION("""COMPUTED_VALUE"""),37860)</f>
        <v>37860</v>
      </c>
      <c r="P293" t="str">
        <f ca="1">IFERROR(__xludf.DUMMYFUNCTION("""COMPUTED_VALUE"""),"ПЕРСЕНКОВКА")</f>
        <v>ПЕРСЕНКОВКА</v>
      </c>
      <c r="Q293">
        <f ca="1">IFERROR(__xludf.DUMMYFUNCTION("""COMPUTED_VALUE"""),34160)</f>
        <v>34160</v>
      </c>
      <c r="R293" t="str">
        <f ca="1">IFERROR(__xludf.DUMMYFUNCTION("""COMPUTED_VALUE"""),"ПОНИНКА")</f>
        <v>ПОНИНКА</v>
      </c>
      <c r="S293" t="str">
        <f ca="1">IFERROR(__xludf.DUMMYFUNCTION("""COMPUTED_VALUE"""),"10.08.21 19-30")</f>
        <v>10.08.21 19-30</v>
      </c>
      <c r="T293">
        <f ca="1">IFERROR(__xludf.DUMMYFUNCTION("""COMPUTED_VALUE"""),3556)</f>
        <v>3556</v>
      </c>
      <c r="U293" t="str">
        <f ca="1">IFERROR(__xludf.DUMMYFUNCTION("""COMPUTED_VALUE"""),"16.12.2023 ДР")</f>
        <v>16.12.2023 ДР</v>
      </c>
      <c r="Z293" t="str">
        <f ca="1">IFERROR(__xludf.DUMMYFUNCTION("""COMPUTED_VALUE"""),"ООО «ЕУ-Транс»")</f>
        <v>ООО «ЕУ-Транс»</v>
      </c>
      <c r="AA293" t="str">
        <f ca="1">IFERROR(__xludf.DUMMYFUNCTION("""COMPUTED_VALUE"""),"12-1592")</f>
        <v>12-1592</v>
      </c>
      <c r="AB293" t="str">
        <f ca="1">IFERROR(__xludf.DUMMYFUNCTION("""COMPUTED_VALUE"""),"40 ОД")</f>
        <v>40 ОД</v>
      </c>
      <c r="AC293" t="str">
        <f ca="1">IFERROR(__xludf.DUMMYFUNCTION("""COMPUTED_VALUE"""),"41000 ЗНАМЕНКА")</f>
        <v>41000 ЗНАМЕНКА</v>
      </c>
      <c r="AD293" t="str">
        <f ca="1">IFERROR(__xludf.DUMMYFUNCTION("""COMPUTED_VALUE"""),"13.12.20 06-00")</f>
        <v>13.12.20 06-00</v>
      </c>
      <c r="AE293" t="str">
        <f ca="1">IFERROR(__xludf.DUMMYFUNCTION("""COMPUTED_VALUE"""),"570 ИCТEК КAЛЕНДАРНЫЙ CPOК ДEПOВCКОГО PEМOНТA")</f>
        <v>570 ИCТEК КAЛЕНДАРНЫЙ CPOК ДEПOВCКОГО PEМOНТA</v>
      </c>
      <c r="AF293" t="str">
        <f ca="1">IFERROR(__xludf.DUMMYFUNCTION("""COMPUTED_VALUE"""),"40 ОД")</f>
        <v>40 ОД</v>
      </c>
      <c r="AG293" t="str">
        <f ca="1">IFERROR(__xludf.DUMMYFUNCTION("""COMPUTED_VALUE"""),"41000 ЗНАМЕНКА")</f>
        <v>41000 ЗНАМЕНКА</v>
      </c>
      <c r="AH293" t="str">
        <f ca="1">IFERROR(__xludf.DUMMYFUNCTION("""COMPUTED_VALUE"""),"16.12.20 14-00")</f>
        <v>16.12.20 14-00</v>
      </c>
      <c r="AI293" s="21">
        <f ca="1">IFERROR(__xludf.DUMMYFUNCTION("""COMPUTED_VALUE"""),44420.357662037)</f>
        <v>44420.357662037</v>
      </c>
    </row>
    <row r="294" spans="1:35" ht="13" x14ac:dyDescent="0.15">
      <c r="A294">
        <f ca="1">IFERROR(__xludf.DUMMYFUNCTION("""COMPUTED_VALUE"""),1151)</f>
        <v>1151</v>
      </c>
      <c r="B294" t="str">
        <f ca="1">IFERROR(__xludf.DUMMYFUNCTION("""COMPUTED_VALUE"""),"Вектор Транс")</f>
        <v>Вектор Транс</v>
      </c>
      <c r="C294" t="str">
        <f ca="1">IFERROR(__xludf.DUMMYFUNCTION("""COMPUTED_VALUE"""),"ЕУ-Транс")</f>
        <v>ЕУ-Транс</v>
      </c>
      <c r="D294">
        <f ca="1">IFERROR(__xludf.DUMMYFUNCTION("""COMPUTED_VALUE"""),56730807)</f>
        <v>56730807</v>
      </c>
      <c r="E294" t="str">
        <f ca="1">IFERROR(__xludf.DUMMYFUNCTION("""COMPUTED_VALUE"""),"68 ГЛУХОДОННЫЕ")</f>
        <v>68 ГЛУХОДОННЫЕ</v>
      </c>
      <c r="F294">
        <f ca="1">IFERROR(__xludf.DUMMYFUNCTION("""COMPUTED_VALUE"""),42103)</f>
        <v>42103</v>
      </c>
      <c r="G294" t="str">
        <f ca="1">IFERROR(__xludf.DUMMYFUNCTION("""COMPUTED_VALUE"""),"ВАГОНЫ ЖД СВ")</f>
        <v>ВАГОНЫ ЖД СВ</v>
      </c>
      <c r="H294">
        <f ca="1">IFERROR(__xludf.DUMMYFUNCTION("""COMPUTED_VALUE"""),0)</f>
        <v>0</v>
      </c>
      <c r="I294">
        <f ca="1">IFERROR(__xludf.DUMMYFUNCTION("""COMPUTED_VALUE"""),6164)</f>
        <v>6164</v>
      </c>
      <c r="J294" t="str">
        <f ca="1">IFERROR(__xludf.DUMMYFUNCTION("""COMPUTED_VALUE"""),"2343 (38840-159-37000) ИВАНО-ФРАНК - ЛЬВОВ")</f>
        <v>2343 (38840-159-37000) ИВАНО-ФРАНК - ЛЬВОВ</v>
      </c>
      <c r="K294">
        <f ca="1">IFERROR(__xludf.DUMMYFUNCTION("""COMPUTED_VALUE"""),37000)</f>
        <v>37000</v>
      </c>
      <c r="L294" t="str">
        <f ca="1">IFERROR(__xludf.DUMMYFUNCTION("""COMPUTED_VALUE"""),"ЛЬВОВ")</f>
        <v>ЛЬВОВ</v>
      </c>
      <c r="M294" t="str">
        <f ca="1">IFERROR(__xludf.DUMMYFUNCTION("""COMPUTED_VALUE"""),"12.08.21 04-36")</f>
        <v>12.08.21 04-36</v>
      </c>
      <c r="N294" t="str">
        <f ca="1">IFERROR(__xludf.DUMMYFUNCTION("""COMPUTED_VALUE"""),"01 ПРИБ")</f>
        <v>01 ПРИБ</v>
      </c>
      <c r="O294">
        <f ca="1">IFERROR(__xludf.DUMMYFUNCTION("""COMPUTED_VALUE"""),34520)</f>
        <v>34520</v>
      </c>
      <c r="P294" t="str">
        <f ca="1">IFERROR(__xludf.DUMMYFUNCTION("""COMPUTED_VALUE"""),"СМОЛКА")</f>
        <v>СМОЛКА</v>
      </c>
      <c r="Q294">
        <f ca="1">IFERROR(__xludf.DUMMYFUNCTION("""COMPUTED_VALUE"""),37860)</f>
        <v>37860</v>
      </c>
      <c r="R294" t="str">
        <f ca="1">IFERROR(__xludf.DUMMYFUNCTION("""COMPUTED_VALUE"""),"ПЕРСЕНКОВКА")</f>
        <v>ПЕРСЕНКОВКА</v>
      </c>
      <c r="S294" t="str">
        <f ca="1">IFERROR(__xludf.DUMMYFUNCTION("""COMPUTED_VALUE"""),"09.08.21 13-30")</f>
        <v>09.08.21 13-30</v>
      </c>
      <c r="T294">
        <f ca="1">IFERROR(__xludf.DUMMYFUNCTION("""COMPUTED_VALUE"""),5933)</f>
        <v>5933</v>
      </c>
      <c r="U294" t="str">
        <f ca="1">IFERROR(__xludf.DUMMYFUNCTION("""COMPUTED_VALUE"""),"17.12.2023 ДР")</f>
        <v>17.12.2023 ДР</v>
      </c>
      <c r="Z294" t="str">
        <f ca="1">IFERROR(__xludf.DUMMYFUNCTION("""COMPUTED_VALUE"""),"ООО «ЕУ-Транс»")</f>
        <v>ООО «ЕУ-Транс»</v>
      </c>
      <c r="AA294" t="str">
        <f ca="1">IFERROR(__xludf.DUMMYFUNCTION("""COMPUTED_VALUE"""),"12-1592")</f>
        <v>12-1592</v>
      </c>
      <c r="AB294" t="str">
        <f ca="1">IFERROR(__xludf.DUMMYFUNCTION("""COMPUTED_VALUE"""),"40 ОД")</f>
        <v>40 ОД</v>
      </c>
      <c r="AC294" t="str">
        <f ca="1">IFERROR(__xludf.DUMMYFUNCTION("""COMPUTED_VALUE"""),"41000 ЗНАМЕНКА")</f>
        <v>41000 ЗНАМЕНКА</v>
      </c>
      <c r="AD294" t="str">
        <f ca="1">IFERROR(__xludf.DUMMYFUNCTION("""COMPUTED_VALUE"""),"13.12.20 06-00")</f>
        <v>13.12.20 06-00</v>
      </c>
      <c r="AE294" t="str">
        <f ca="1">IFERROR(__xludf.DUMMYFUNCTION("""COMPUTED_VALUE"""),"570 ИCТEК КAЛЕНДАРНЫЙ CPOК ДEПOВCКОГО PEМOНТA")</f>
        <v>570 ИCТEК КAЛЕНДАРНЫЙ CPOК ДEПOВCКОГО PEМOНТA</v>
      </c>
      <c r="AF294" t="str">
        <f ca="1">IFERROR(__xludf.DUMMYFUNCTION("""COMPUTED_VALUE"""),"40 ОД")</f>
        <v>40 ОД</v>
      </c>
      <c r="AG294" t="str">
        <f ca="1">IFERROR(__xludf.DUMMYFUNCTION("""COMPUTED_VALUE"""),"41000 ЗНАМЕНКА")</f>
        <v>41000 ЗНАМЕНКА</v>
      </c>
      <c r="AH294" t="str">
        <f ca="1">IFERROR(__xludf.DUMMYFUNCTION("""COMPUTED_VALUE"""),"17.12.20 11-00")</f>
        <v>17.12.20 11-00</v>
      </c>
      <c r="AI294" s="21">
        <f ca="1">IFERROR(__xludf.DUMMYFUNCTION("""COMPUTED_VALUE"""),44420.357662037)</f>
        <v>44420.357662037</v>
      </c>
    </row>
    <row r="295" spans="1:35" ht="13" x14ac:dyDescent="0.15">
      <c r="A295">
        <f ca="1">IFERROR(__xludf.DUMMYFUNCTION("""COMPUTED_VALUE"""),1152)</f>
        <v>1152</v>
      </c>
      <c r="B295" t="str">
        <f ca="1">IFERROR(__xludf.DUMMYFUNCTION("""COMPUTED_VALUE"""),"Вектор Транс")</f>
        <v>Вектор Транс</v>
      </c>
      <c r="C295" t="str">
        <f ca="1">IFERROR(__xludf.DUMMYFUNCTION("""COMPUTED_VALUE"""),"ЕУ-Транс")</f>
        <v>ЕУ-Транс</v>
      </c>
      <c r="D295">
        <f ca="1">IFERROR(__xludf.DUMMYFUNCTION("""COMPUTED_VALUE"""),56730757)</f>
        <v>56730757</v>
      </c>
      <c r="E295" t="str">
        <f ca="1">IFERROR(__xludf.DUMMYFUNCTION("""COMPUTED_VALUE"""),"68 ГЛУХОДОННЫЕ")</f>
        <v>68 ГЛУХОДОННЫЕ</v>
      </c>
      <c r="F295">
        <f ca="1">IFERROR(__xludf.DUMMYFUNCTION("""COMPUTED_VALUE"""),42103)</f>
        <v>42103</v>
      </c>
      <c r="G295" t="str">
        <f ca="1">IFERROR(__xludf.DUMMYFUNCTION("""COMPUTED_VALUE"""),"ВАГОНЫ ЖД СВ")</f>
        <v>ВАГОНЫ ЖД СВ</v>
      </c>
      <c r="H295">
        <f ca="1">IFERROR(__xludf.DUMMYFUNCTION("""COMPUTED_VALUE"""),0)</f>
        <v>0</v>
      </c>
      <c r="I295">
        <f ca="1">IFERROR(__xludf.DUMMYFUNCTION("""COMPUTED_VALUE"""),3556)</f>
        <v>3556</v>
      </c>
      <c r="J295" t="str">
        <f ca="1">IFERROR(__xludf.DUMMYFUNCTION("""COMPUTED_VALUE"""),"3404 (34000-060-34270) ШЕПЕТОВКА - КАЗАТИН I")</f>
        <v>3404 (34000-060-34270) ШЕПЕТОВКА - КАЗАТИН I</v>
      </c>
      <c r="K295">
        <f ca="1">IFERROR(__xludf.DUMMYFUNCTION("""COMPUTED_VALUE"""),34170)</f>
        <v>34170</v>
      </c>
      <c r="L295" t="str">
        <f ca="1">IFERROR(__xludf.DUMMYFUNCTION("""COMPUTED_VALUE"""),"ПОЛОННОЕ")</f>
        <v>ПОЛОННОЕ</v>
      </c>
      <c r="M295" t="str">
        <f ca="1">IFERROR(__xludf.DUMMYFUNCTION("""COMPUTED_VALUE"""),"12.08.21 08-10")</f>
        <v>12.08.21 08-10</v>
      </c>
      <c r="N295" t="str">
        <f ca="1">IFERROR(__xludf.DUMMYFUNCTION("""COMPUTED_VALUE"""),"72 ОТЦ")</f>
        <v>72 ОТЦ</v>
      </c>
      <c r="O295">
        <f ca="1">IFERROR(__xludf.DUMMYFUNCTION("""COMPUTED_VALUE"""),34160)</f>
        <v>34160</v>
      </c>
      <c r="P295" t="str">
        <f ca="1">IFERROR(__xludf.DUMMYFUNCTION("""COMPUTED_VALUE"""),"ПОНИНКА")</f>
        <v>ПОНИНКА</v>
      </c>
      <c r="Q295">
        <f ca="1">IFERROR(__xludf.DUMMYFUNCTION("""COMPUTED_VALUE"""),37860)</f>
        <v>37860</v>
      </c>
      <c r="R295" t="str">
        <f ca="1">IFERROR(__xludf.DUMMYFUNCTION("""COMPUTED_VALUE"""),"ПЕРСЕНКОВКА")</f>
        <v>ПЕРСЕНКОВКА</v>
      </c>
      <c r="S295" t="str">
        <f ca="1">IFERROR(__xludf.DUMMYFUNCTION("""COMPUTED_VALUE"""),"07.08.21 13-00")</f>
        <v>07.08.21 13-00</v>
      </c>
      <c r="T295">
        <f ca="1">IFERROR(__xludf.DUMMYFUNCTION("""COMPUTED_VALUE"""),5933)</f>
        <v>5933</v>
      </c>
      <c r="U295" t="str">
        <f ca="1">IFERROR(__xludf.DUMMYFUNCTION("""COMPUTED_VALUE"""),"10.12.2023 ДР")</f>
        <v>10.12.2023 ДР</v>
      </c>
      <c r="Z295" t="str">
        <f ca="1">IFERROR(__xludf.DUMMYFUNCTION("""COMPUTED_VALUE"""),"ООО «ЕУ-Транс»")</f>
        <v>ООО «ЕУ-Транс»</v>
      </c>
      <c r="AA295" t="str">
        <f ca="1">IFERROR(__xludf.DUMMYFUNCTION("""COMPUTED_VALUE"""),"12-1592")</f>
        <v>12-1592</v>
      </c>
      <c r="AB295" t="str">
        <f ca="1">IFERROR(__xludf.DUMMYFUNCTION("""COMPUTED_VALUE"""),"40 ОД")</f>
        <v>40 ОД</v>
      </c>
      <c r="AC295" t="str">
        <f ca="1">IFERROR(__xludf.DUMMYFUNCTION("""COMPUTED_VALUE"""),"41190 ПОМОШНАЯ")</f>
        <v>41190 ПОМОШНАЯ</v>
      </c>
      <c r="AD295" t="str">
        <f ca="1">IFERROR(__xludf.DUMMYFUNCTION("""COMPUTED_VALUE"""),"09.12.20 10-20")</f>
        <v>09.12.20 10-20</v>
      </c>
      <c r="AE295" t="str">
        <f ca="1">IFERROR(__xludf.DUMMYFUNCTION("""COMPUTED_VALUE"""),"570 ИCТEК КAЛЕНДАРНЫЙ CPOК ДEПOВCКОГО PEМOНТA")</f>
        <v>570 ИCТEК КAЛЕНДАРНЫЙ CPOК ДEПOВCКОГО PEМOНТA</v>
      </c>
      <c r="AF295" t="str">
        <f ca="1">IFERROR(__xludf.DUMMYFUNCTION("""COMPUTED_VALUE"""),"40 ОД")</f>
        <v>40 ОД</v>
      </c>
      <c r="AG295" t="str">
        <f ca="1">IFERROR(__xludf.DUMMYFUNCTION("""COMPUTED_VALUE"""),"41190 ПОМОШНАЯ")</f>
        <v>41190 ПОМОШНАЯ</v>
      </c>
      <c r="AH295" t="str">
        <f ca="1">IFERROR(__xludf.DUMMYFUNCTION("""COMPUTED_VALUE"""),"10.12.20 18-20")</f>
        <v>10.12.20 18-20</v>
      </c>
      <c r="AI295" s="21">
        <f ca="1">IFERROR(__xludf.DUMMYFUNCTION("""COMPUTED_VALUE"""),44420.357662037)</f>
        <v>44420.357662037</v>
      </c>
    </row>
    <row r="296" spans="1:35" ht="13" x14ac:dyDescent="0.15">
      <c r="A296">
        <f ca="1">IFERROR(__xludf.DUMMYFUNCTION("""COMPUTED_VALUE"""),1153)</f>
        <v>1153</v>
      </c>
      <c r="B296" t="str">
        <f ca="1">IFERROR(__xludf.DUMMYFUNCTION("""COMPUTED_VALUE"""),"Вектор Транс")</f>
        <v>Вектор Транс</v>
      </c>
      <c r="C296" t="str">
        <f ca="1">IFERROR(__xludf.DUMMYFUNCTION("""COMPUTED_VALUE"""),"ЕУ-Транс")</f>
        <v>ЕУ-Транс</v>
      </c>
      <c r="D296">
        <f ca="1">IFERROR(__xludf.DUMMYFUNCTION("""COMPUTED_VALUE"""),56730781)</f>
        <v>56730781</v>
      </c>
      <c r="E296" t="str">
        <f ca="1">IFERROR(__xludf.DUMMYFUNCTION("""COMPUTED_VALUE"""),"68 ГЛУХОДОННЫЕ")</f>
        <v>68 ГЛУХОДОННЫЕ</v>
      </c>
      <c r="F296">
        <f ca="1">IFERROR(__xludf.DUMMYFUNCTION("""COMPUTED_VALUE"""),23239)</f>
        <v>23239</v>
      </c>
      <c r="G296" t="str">
        <f ca="1">IFERROR(__xludf.DUMMYFUNCTION("""COMPUTED_VALUE"""),"ЩЕБЕНЬ ГРАНИТ")</f>
        <v>ЩЕБЕНЬ ГРАНИТ</v>
      </c>
      <c r="H296">
        <f ca="1">IFERROR(__xludf.DUMMYFUNCTION("""COMPUTED_VALUE"""),70)</f>
        <v>70</v>
      </c>
      <c r="I296">
        <f ca="1">IFERROR(__xludf.DUMMYFUNCTION("""COMPUTED_VALUE"""),5933)</f>
        <v>5933</v>
      </c>
      <c r="J296" t="str">
        <f ca="1">IFERROR(__xludf.DUMMYFUNCTION("""COMPUTED_VALUE"""),"2001 (34000-061-37040) ШЕПЕТОВКА - КЛЕПАРОВ")</f>
        <v>2001 (34000-061-37040) ШЕПЕТОВКА - КЛЕПАРОВ</v>
      </c>
      <c r="K296">
        <f ca="1">IFERROR(__xludf.DUMMYFUNCTION("""COMPUTED_VALUE"""),34000)</f>
        <v>34000</v>
      </c>
      <c r="L296" t="str">
        <f ca="1">IFERROR(__xludf.DUMMYFUNCTION("""COMPUTED_VALUE"""),"ШЕПЕТОВКА")</f>
        <v>ШЕПЕТОВКА</v>
      </c>
      <c r="M296" t="str">
        <f ca="1">IFERROR(__xludf.DUMMYFUNCTION("""COMPUTED_VALUE"""),"12.08.21 06-41")</f>
        <v>12.08.21 06-41</v>
      </c>
      <c r="N296" t="str">
        <f ca="1">IFERROR(__xludf.DUMMYFUNCTION("""COMPUTED_VALUE"""),"05 ФОРМ")</f>
        <v>05 ФОРМ</v>
      </c>
      <c r="O296">
        <f ca="1">IFERROR(__xludf.DUMMYFUNCTION("""COMPUTED_VALUE"""),37860)</f>
        <v>37860</v>
      </c>
      <c r="P296" t="str">
        <f ca="1">IFERROR(__xludf.DUMMYFUNCTION("""COMPUTED_VALUE"""),"ПЕРСЕНКОВКА")</f>
        <v>ПЕРСЕНКОВКА</v>
      </c>
      <c r="Q296">
        <f ca="1">IFERROR(__xludf.DUMMYFUNCTION("""COMPUTED_VALUE"""),34520)</f>
        <v>34520</v>
      </c>
      <c r="R296" t="str">
        <f ca="1">IFERROR(__xludf.DUMMYFUNCTION("""COMPUTED_VALUE"""),"СМОЛКА")</f>
        <v>СМОЛКА</v>
      </c>
      <c r="S296" t="str">
        <f ca="1">IFERROR(__xludf.DUMMYFUNCTION("""COMPUTED_VALUE"""),"10.08.21 18-50")</f>
        <v>10.08.21 18-50</v>
      </c>
      <c r="T296">
        <f ca="1">IFERROR(__xludf.DUMMYFUNCTION("""COMPUTED_VALUE"""),6164)</f>
        <v>6164</v>
      </c>
      <c r="U296" t="str">
        <f ca="1">IFERROR(__xludf.DUMMYFUNCTION("""COMPUTED_VALUE"""),"12.12.2023 ДР")</f>
        <v>12.12.2023 ДР</v>
      </c>
      <c r="Z296" t="str">
        <f ca="1">IFERROR(__xludf.DUMMYFUNCTION("""COMPUTED_VALUE"""),"ООО «ЕУ-Транс»")</f>
        <v>ООО «ЕУ-Транс»</v>
      </c>
      <c r="AA296" t="str">
        <f ca="1">IFERROR(__xludf.DUMMYFUNCTION("""COMPUTED_VALUE"""),"12-1592")</f>
        <v>12-1592</v>
      </c>
      <c r="AB296" t="str">
        <f ca="1">IFERROR(__xludf.DUMMYFUNCTION("""COMPUTED_VALUE"""),"45 ПРИДН")</f>
        <v>45 ПРИДН</v>
      </c>
      <c r="AC296" t="str">
        <f ca="1">IFERROR(__xludf.DUMMYFUNCTION("""COMPUTED_VALUE"""),"45740 ГРЕКОВАТАЯ")</f>
        <v>45740 ГРЕКОВАТАЯ</v>
      </c>
      <c r="AD296" t="str">
        <f ca="1">IFERROR(__xludf.DUMMYFUNCTION("""COMPUTED_VALUE"""),"27.01.21 05-15")</f>
        <v>27.01.21 05-15</v>
      </c>
      <c r="AE296" t="str">
        <f ca="1">IFERROR(__xludf.DUMMYFUNCTION("""COMPUTED_VALUE"""),"503 OБPЫВ CВAPНOГO ШВA CТOЙКИ")</f>
        <v>503 OБPЫВ CВAPНOГO ШВA CТOЙКИ</v>
      </c>
      <c r="AF296" t="str">
        <f ca="1">IFERROR(__xludf.DUMMYFUNCTION("""COMPUTED_VALUE"""),"45 ПРИДН")</f>
        <v>45 ПРИДН</v>
      </c>
      <c r="AG296" t="str">
        <f ca="1">IFERROR(__xludf.DUMMYFUNCTION("""COMPUTED_VALUE"""),"45740 ГРЕКОВАТАЯ")</f>
        <v>45740 ГРЕКОВАТАЯ</v>
      </c>
      <c r="AH296" t="str">
        <f ca="1">IFERROR(__xludf.DUMMYFUNCTION("""COMPUTED_VALUE"""),"02.02.21 12-20")</f>
        <v>02.02.21 12-20</v>
      </c>
      <c r="AI296" s="21">
        <f ca="1">IFERROR(__xludf.DUMMYFUNCTION("""COMPUTED_VALUE"""),44420.357662037)</f>
        <v>44420.357662037</v>
      </c>
    </row>
    <row r="297" spans="1:35" ht="13" x14ac:dyDescent="0.15">
      <c r="A297">
        <f ca="1">IFERROR(__xludf.DUMMYFUNCTION("""COMPUTED_VALUE"""),1154)</f>
        <v>1154</v>
      </c>
      <c r="B297" t="str">
        <f ca="1">IFERROR(__xludf.DUMMYFUNCTION("""COMPUTED_VALUE"""),"Вектор Транс")</f>
        <v>Вектор Транс</v>
      </c>
      <c r="C297" t="str">
        <f ca="1">IFERROR(__xludf.DUMMYFUNCTION("""COMPUTED_VALUE"""),"ЕУ-Транс")</f>
        <v>ЕУ-Транс</v>
      </c>
      <c r="D297">
        <f ca="1">IFERROR(__xludf.DUMMYFUNCTION("""COMPUTED_VALUE"""),56727928)</f>
        <v>56727928</v>
      </c>
      <c r="E297" t="str">
        <f ca="1">IFERROR(__xludf.DUMMYFUNCTION("""COMPUTED_VALUE"""),"68 ГЛУХОДОННЫЕ")</f>
        <v>68 ГЛУХОДОННЫЕ</v>
      </c>
      <c r="F297">
        <f ca="1">IFERROR(__xludf.DUMMYFUNCTION("""COMPUTED_VALUE"""),42103)</f>
        <v>42103</v>
      </c>
      <c r="G297" t="str">
        <f ca="1">IFERROR(__xludf.DUMMYFUNCTION("""COMPUTED_VALUE"""),"ВАГОНЫ ЖД СВ")</f>
        <v>ВАГОНЫ ЖД СВ</v>
      </c>
      <c r="H297">
        <f ca="1">IFERROR(__xludf.DUMMYFUNCTION("""COMPUTED_VALUE"""),0)</f>
        <v>0</v>
      </c>
      <c r="I297">
        <f ca="1">IFERROR(__xludf.DUMMYFUNCTION("""COMPUTED_VALUE"""),3556)</f>
        <v>3556</v>
      </c>
      <c r="J297" t="str">
        <f ca="1">IFERROR(__xludf.DUMMYFUNCTION("""COMPUTED_VALUE"""),"3404 (34000-060-34270) ШЕПЕТОВКА - КАЗАТИН I")</f>
        <v>3404 (34000-060-34270) ШЕПЕТОВКА - КАЗАТИН I</v>
      </c>
      <c r="K297">
        <f ca="1">IFERROR(__xludf.DUMMYFUNCTION("""COMPUTED_VALUE"""),34170)</f>
        <v>34170</v>
      </c>
      <c r="L297" t="str">
        <f ca="1">IFERROR(__xludf.DUMMYFUNCTION("""COMPUTED_VALUE"""),"ПОЛОННОЕ")</f>
        <v>ПОЛОННОЕ</v>
      </c>
      <c r="M297" t="str">
        <f ca="1">IFERROR(__xludf.DUMMYFUNCTION("""COMPUTED_VALUE"""),"12.08.21 08-10")</f>
        <v>12.08.21 08-10</v>
      </c>
      <c r="N297" t="str">
        <f ca="1">IFERROR(__xludf.DUMMYFUNCTION("""COMPUTED_VALUE"""),"72 ОТЦ")</f>
        <v>72 ОТЦ</v>
      </c>
      <c r="O297">
        <f ca="1">IFERROR(__xludf.DUMMYFUNCTION("""COMPUTED_VALUE"""),34160)</f>
        <v>34160</v>
      </c>
      <c r="P297" t="str">
        <f ca="1">IFERROR(__xludf.DUMMYFUNCTION("""COMPUTED_VALUE"""),"ПОНИНКА")</f>
        <v>ПОНИНКА</v>
      </c>
      <c r="Q297">
        <f ca="1">IFERROR(__xludf.DUMMYFUNCTION("""COMPUTED_VALUE"""),37860)</f>
        <v>37860</v>
      </c>
      <c r="R297" t="str">
        <f ca="1">IFERROR(__xludf.DUMMYFUNCTION("""COMPUTED_VALUE"""),"ПЕРСЕНКОВКА")</f>
        <v>ПЕРСЕНКОВКА</v>
      </c>
      <c r="S297" t="str">
        <f ca="1">IFERROR(__xludf.DUMMYFUNCTION("""COMPUTED_VALUE"""),"04.08.21 17-55")</f>
        <v>04.08.21 17-55</v>
      </c>
      <c r="T297">
        <f ca="1">IFERROR(__xludf.DUMMYFUNCTION("""COMPUTED_VALUE"""),5933)</f>
        <v>5933</v>
      </c>
      <c r="U297" t="str">
        <f ca="1">IFERROR(__xludf.DUMMYFUNCTION("""COMPUTED_VALUE"""),"31.12.2021 ДР")</f>
        <v>31.12.2021 ДР</v>
      </c>
      <c r="Z297" t="str">
        <f ca="1">IFERROR(__xludf.DUMMYFUNCTION("""COMPUTED_VALUE"""),"ООО «ЕУ-Транс»")</f>
        <v>ООО «ЕУ-Транс»</v>
      </c>
      <c r="AA297" t="str">
        <f ca="1">IFERROR(__xludf.DUMMYFUNCTION("""COMPUTED_VALUE"""),"12-1592")</f>
        <v>12-1592</v>
      </c>
      <c r="AB297" t="str">
        <f ca="1">IFERROR(__xludf.DUMMYFUNCTION("""COMPUTED_VALUE"""),"45 ПРИДН")</f>
        <v>45 ПРИДН</v>
      </c>
      <c r="AC297" t="str">
        <f ca="1">IFERROR(__xludf.DUMMYFUNCTION("""COMPUTED_VALUE"""),"45740 ГРЕКОВАТАЯ")</f>
        <v>45740 ГРЕКОВАТАЯ</v>
      </c>
      <c r="AD297" t="str">
        <f ca="1">IFERROR(__xludf.DUMMYFUNCTION("""COMPUTED_VALUE"""),"19.01.21 13-25")</f>
        <v>19.01.21 13-25</v>
      </c>
      <c r="AE297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297" t="str">
        <f ca="1">IFERROR(__xludf.DUMMYFUNCTION("""COMPUTED_VALUE"""),"45 ПРИДН")</f>
        <v>45 ПРИДН</v>
      </c>
      <c r="AG297" t="str">
        <f ca="1">IFERROR(__xludf.DUMMYFUNCTION("""COMPUTED_VALUE"""),"45740 ГРЕКОВАТАЯ")</f>
        <v>45740 ГРЕКОВАТАЯ</v>
      </c>
      <c r="AH297" t="str">
        <f ca="1">IFERROR(__xludf.DUMMYFUNCTION("""COMPUTED_VALUE"""),"20.01.21 05-00")</f>
        <v>20.01.21 05-00</v>
      </c>
      <c r="AI297" s="21">
        <f ca="1">IFERROR(__xludf.DUMMYFUNCTION("""COMPUTED_VALUE"""),44420.357662037)</f>
        <v>44420.357662037</v>
      </c>
    </row>
    <row r="298" spans="1:35" ht="13" x14ac:dyDescent="0.15">
      <c r="A298">
        <f ca="1">IFERROR(__xludf.DUMMYFUNCTION("""COMPUTED_VALUE"""),1155)</f>
        <v>1155</v>
      </c>
      <c r="B298" t="str">
        <f ca="1">IFERROR(__xludf.DUMMYFUNCTION("""COMPUTED_VALUE"""),"Вектор Транс")</f>
        <v>Вектор Транс</v>
      </c>
      <c r="C298" t="str">
        <f ca="1">IFERROR(__xludf.DUMMYFUNCTION("""COMPUTED_VALUE"""),"ЕУ-Транс")</f>
        <v>ЕУ-Транс</v>
      </c>
      <c r="D298">
        <f ca="1">IFERROR(__xludf.DUMMYFUNCTION("""COMPUTED_VALUE"""),56730773)</f>
        <v>56730773</v>
      </c>
      <c r="E298" t="str">
        <f ca="1">IFERROR(__xludf.DUMMYFUNCTION("""COMPUTED_VALUE"""),"68 ГЛУХОДОННЫЕ")</f>
        <v>68 ГЛУХОДОННЫЕ</v>
      </c>
      <c r="F298">
        <f ca="1">IFERROR(__xludf.DUMMYFUNCTION("""COMPUTED_VALUE"""),23239)</f>
        <v>23239</v>
      </c>
      <c r="G298" t="str">
        <f ca="1">IFERROR(__xludf.DUMMYFUNCTION("""COMPUTED_VALUE"""),"ЩЕБЕНЬ ГРАНИТ")</f>
        <v>ЩЕБЕНЬ ГРАНИТ</v>
      </c>
      <c r="H298">
        <f ca="1">IFERROR(__xludf.DUMMYFUNCTION("""COMPUTED_VALUE"""),71)</f>
        <v>71</v>
      </c>
      <c r="I298">
        <f ca="1">IFERROR(__xludf.DUMMYFUNCTION("""COMPUTED_VALUE"""),5933)</f>
        <v>5933</v>
      </c>
      <c r="J298" t="str">
        <f ca="1">IFERROR(__xludf.DUMMYFUNCTION("""COMPUTED_VALUE"""),"3011 (34000-002-37040) ШЕПЕТОВКА - КЛЕПАРОВ")</f>
        <v>3011 (34000-002-37040) ШЕПЕТОВКА - КЛЕПАРОВ</v>
      </c>
      <c r="K298">
        <f ca="1">IFERROR(__xludf.DUMMYFUNCTION("""COMPUTED_VALUE"""),37860)</f>
        <v>37860</v>
      </c>
      <c r="L298" t="str">
        <f ca="1">IFERROR(__xludf.DUMMYFUNCTION("""COMPUTED_VALUE"""),"ПЕРСЕНКОВКА")</f>
        <v>ПЕРСЕНКОВКА</v>
      </c>
      <c r="M298" t="str">
        <f ca="1">IFERROR(__xludf.DUMMYFUNCTION("""COMPUTED_VALUE"""),"12.08.21 07-00")</f>
        <v>12.08.21 07-00</v>
      </c>
      <c r="N298" t="str">
        <f ca="1">IFERROR(__xludf.DUMMYFUNCTION("""COMPUTED_VALUE"""),"21 ВЫГ2")</f>
        <v>21 ВЫГ2</v>
      </c>
      <c r="O298">
        <f ca="1">IFERROR(__xludf.DUMMYFUNCTION("""COMPUTED_VALUE"""),37860)</f>
        <v>37860</v>
      </c>
      <c r="P298" t="str">
        <f ca="1">IFERROR(__xludf.DUMMYFUNCTION("""COMPUTED_VALUE"""),"ПЕРСЕНКОВКА")</f>
        <v>ПЕРСЕНКОВКА</v>
      </c>
      <c r="Q298">
        <f ca="1">IFERROR(__xludf.DUMMYFUNCTION("""COMPUTED_VALUE"""),34520)</f>
        <v>34520</v>
      </c>
      <c r="R298" t="str">
        <f ca="1">IFERROR(__xludf.DUMMYFUNCTION("""COMPUTED_VALUE"""),"СМОЛКА")</f>
        <v>СМОЛКА</v>
      </c>
      <c r="S298" t="str">
        <f ca="1">IFERROR(__xludf.DUMMYFUNCTION("""COMPUTED_VALUE"""),"09.08.21 09-00")</f>
        <v>09.08.21 09-00</v>
      </c>
      <c r="U298" t="str">
        <f ca="1">IFERROR(__xludf.DUMMYFUNCTION("""COMPUTED_VALUE"""),"27.02.2024 ДР")</f>
        <v>27.02.2024 ДР</v>
      </c>
      <c r="Z298" t="str">
        <f ca="1">IFERROR(__xludf.DUMMYFUNCTION("""COMPUTED_VALUE"""),"ООО «ЕУ-Транс»")</f>
        <v>ООО «ЕУ-Транс»</v>
      </c>
      <c r="AA298" t="str">
        <f ca="1">IFERROR(__xludf.DUMMYFUNCTION("""COMPUTED_VALUE"""),"12-1592")</f>
        <v>12-1592</v>
      </c>
      <c r="AB298" t="str">
        <f ca="1">IFERROR(__xludf.DUMMYFUNCTION("""COMPUTED_VALUE"""),"45 ПРИДН")</f>
        <v>45 ПРИДН</v>
      </c>
      <c r="AC298" t="str">
        <f ca="1">IFERROR(__xludf.DUMMYFUNCTION("""COMPUTED_VALUE"""),"45060 НИЖНЕДНЕПРОВ")</f>
        <v>45060 НИЖНЕДНЕПРОВ</v>
      </c>
      <c r="AD298" t="str">
        <f ca="1">IFERROR(__xludf.DUMMYFUNCTION("""COMPUTED_VALUE"""),"27.02.21 09-01")</f>
        <v>27.02.21 09-01</v>
      </c>
      <c r="AE298" t="str">
        <f ca="1">IFERROR(__xludf.DUMMYFUNCTION("""COMPUTED_VALUE"""),"570 ИCТEК КAЛЕНДАРНЫЙ CPOК ДEПOВCКОГО PEМOНТA")</f>
        <v>570 ИCТEК КAЛЕНДАРНЫЙ CPOК ДEПOВCКОГО PEМOНТA</v>
      </c>
      <c r="AF298" t="str">
        <f ca="1">IFERROR(__xludf.DUMMYFUNCTION("""COMPUTED_VALUE"""),"45 ПРИДН")</f>
        <v>45 ПРИДН</v>
      </c>
      <c r="AG298" t="str">
        <f ca="1">IFERROR(__xludf.DUMMYFUNCTION("""COMPUTED_VALUE"""),"45060 НИЖНЕДНЕПРОВ")</f>
        <v>45060 НИЖНЕДНЕПРОВ</v>
      </c>
      <c r="AH298" t="str">
        <f ca="1">IFERROR(__xludf.DUMMYFUNCTION("""COMPUTED_VALUE"""),"27.02.21 14-32")</f>
        <v>27.02.21 14-32</v>
      </c>
      <c r="AI298" s="21">
        <f ca="1">IFERROR(__xludf.DUMMYFUNCTION("""COMPUTED_VALUE"""),44420.357662037)</f>
        <v>44420.357662037</v>
      </c>
    </row>
    <row r="299" spans="1:35" ht="13" x14ac:dyDescent="0.15">
      <c r="A299">
        <f ca="1">IFERROR(__xludf.DUMMYFUNCTION("""COMPUTED_VALUE"""),1156)</f>
        <v>1156</v>
      </c>
      <c r="B299" t="str">
        <f ca="1">IFERROR(__xludf.DUMMYFUNCTION("""COMPUTED_VALUE"""),"Вектор Транс")</f>
        <v>Вектор Транс</v>
      </c>
      <c r="C299" t="str">
        <f ca="1">IFERROR(__xludf.DUMMYFUNCTION("""COMPUTED_VALUE"""),"ЕУ-Транс")</f>
        <v>ЕУ-Транс</v>
      </c>
      <c r="D299">
        <f ca="1">IFERROR(__xludf.DUMMYFUNCTION("""COMPUTED_VALUE"""),56727936)</f>
        <v>56727936</v>
      </c>
      <c r="E299" t="str">
        <f ca="1">IFERROR(__xludf.DUMMYFUNCTION("""COMPUTED_VALUE"""),"68 ГЛУХОДОННЫЕ")</f>
        <v>68 ГЛУХОДОННЫЕ</v>
      </c>
      <c r="F299">
        <f ca="1">IFERROR(__xludf.DUMMYFUNCTION("""COMPUTED_VALUE"""),42103)</f>
        <v>42103</v>
      </c>
      <c r="G299" t="str">
        <f ca="1">IFERROR(__xludf.DUMMYFUNCTION("""COMPUTED_VALUE"""),"ВАГОНЫ ЖД СВ")</f>
        <v>ВАГОНЫ ЖД СВ</v>
      </c>
      <c r="H299">
        <f ca="1">IFERROR(__xludf.DUMMYFUNCTION("""COMPUTED_VALUE"""),0)</f>
        <v>0</v>
      </c>
      <c r="I299">
        <f ca="1">IFERROR(__xludf.DUMMYFUNCTION("""COMPUTED_VALUE"""),6164)</f>
        <v>6164</v>
      </c>
      <c r="J299" t="str">
        <f ca="1">IFERROR(__xludf.DUMMYFUNCTION("""COMPUTED_VALUE"""),"2343 (38840-159-37000) ИВАНО-ФРАНК - ЛЬВОВ")</f>
        <v>2343 (38840-159-37000) ИВАНО-ФРАНК - ЛЬВОВ</v>
      </c>
      <c r="K299">
        <f ca="1">IFERROR(__xludf.DUMMYFUNCTION("""COMPUTED_VALUE"""),37000)</f>
        <v>37000</v>
      </c>
      <c r="L299" t="str">
        <f ca="1">IFERROR(__xludf.DUMMYFUNCTION("""COMPUTED_VALUE"""),"ЛЬВОВ")</f>
        <v>ЛЬВОВ</v>
      </c>
      <c r="M299" t="str">
        <f ca="1">IFERROR(__xludf.DUMMYFUNCTION("""COMPUTED_VALUE"""),"12.08.21 04-36")</f>
        <v>12.08.21 04-36</v>
      </c>
      <c r="N299" t="str">
        <f ca="1">IFERROR(__xludf.DUMMYFUNCTION("""COMPUTED_VALUE"""),"01 ПРИБ")</f>
        <v>01 ПРИБ</v>
      </c>
      <c r="O299">
        <f ca="1">IFERROR(__xludf.DUMMYFUNCTION("""COMPUTED_VALUE"""),34520)</f>
        <v>34520</v>
      </c>
      <c r="P299" t="str">
        <f ca="1">IFERROR(__xludf.DUMMYFUNCTION("""COMPUTED_VALUE"""),"СМОЛКА")</f>
        <v>СМОЛКА</v>
      </c>
      <c r="Q299">
        <f ca="1">IFERROR(__xludf.DUMMYFUNCTION("""COMPUTED_VALUE"""),37860)</f>
        <v>37860</v>
      </c>
      <c r="R299" t="str">
        <f ca="1">IFERROR(__xludf.DUMMYFUNCTION("""COMPUTED_VALUE"""),"ПЕРСЕНКОВКА")</f>
        <v>ПЕРСЕНКОВКА</v>
      </c>
      <c r="S299" t="str">
        <f ca="1">IFERROR(__xludf.DUMMYFUNCTION("""COMPUTED_VALUE"""),"09.08.21 13-30")</f>
        <v>09.08.21 13-30</v>
      </c>
      <c r="T299">
        <f ca="1">IFERROR(__xludf.DUMMYFUNCTION("""COMPUTED_VALUE"""),5933)</f>
        <v>5933</v>
      </c>
      <c r="U299" t="str">
        <f ca="1">IFERROR(__xludf.DUMMYFUNCTION("""COMPUTED_VALUE"""),"12.02.2022 ДР")</f>
        <v>12.02.2022 ДР</v>
      </c>
      <c r="Z299" t="str">
        <f ca="1">IFERROR(__xludf.DUMMYFUNCTION("""COMPUTED_VALUE"""),"ООО «ЕУ-Транс»")</f>
        <v>ООО «ЕУ-Транс»</v>
      </c>
      <c r="AA299" t="str">
        <f ca="1">IFERROR(__xludf.DUMMYFUNCTION("""COMPUTED_VALUE"""),"12-1592")</f>
        <v>12-1592</v>
      </c>
      <c r="AB299" t="str">
        <f ca="1">IFERROR(__xludf.DUMMYFUNCTION("""COMPUTED_VALUE"""),"35 ЛЬВ")</f>
        <v>35 ЛЬВ</v>
      </c>
      <c r="AC299" t="str">
        <f ca="1">IFERROR(__xludf.DUMMYFUNCTION("""COMPUTED_VALUE"""),"35000 ЗДОЛБУНОВ")</f>
        <v>35000 ЗДОЛБУНОВ</v>
      </c>
      <c r="AD299" t="str">
        <f ca="1">IFERROR(__xludf.DUMMYFUNCTION("""COMPUTED_VALUE"""),"13.04.21 08-00")</f>
        <v>13.04.21 08-00</v>
      </c>
      <c r="AE299" t="str">
        <f ca="1">IFERROR(__xludf.DUMMYFUNCTION("""COMPUTED_VALUE"""),"102 ТOНКИЙ ГPEБEНЬ")</f>
        <v>102 ТOНКИЙ ГPEБEНЬ</v>
      </c>
      <c r="AF299" t="str">
        <f ca="1">IFERROR(__xludf.DUMMYFUNCTION("""COMPUTED_VALUE"""),"35 ЛЬВ")</f>
        <v>35 ЛЬВ</v>
      </c>
      <c r="AG299" t="str">
        <f ca="1">IFERROR(__xludf.DUMMYFUNCTION("""COMPUTED_VALUE"""),"35000 ЗДОЛБУНОВ")</f>
        <v>35000 ЗДОЛБУНОВ</v>
      </c>
      <c r="AH299" t="str">
        <f ca="1">IFERROR(__xludf.DUMMYFUNCTION("""COMPUTED_VALUE"""),"29.04.21 17-00")</f>
        <v>29.04.21 17-00</v>
      </c>
      <c r="AI299" s="21">
        <f ca="1">IFERROR(__xludf.DUMMYFUNCTION("""COMPUTED_VALUE"""),44420.357662037)</f>
        <v>44420.357662037</v>
      </c>
    </row>
    <row r="300" spans="1:35" ht="13" x14ac:dyDescent="0.15">
      <c r="A300">
        <f ca="1">IFERROR(__xludf.DUMMYFUNCTION("""COMPUTED_VALUE"""),1157)</f>
        <v>1157</v>
      </c>
      <c r="B300" t="str">
        <f ca="1">IFERROR(__xludf.DUMMYFUNCTION("""COMPUTED_VALUE"""),"Вектор Транс")</f>
        <v>Вектор Транс</v>
      </c>
      <c r="C300" t="str">
        <f ca="1">IFERROR(__xludf.DUMMYFUNCTION("""COMPUTED_VALUE"""),"ЕУ-Транс")</f>
        <v>ЕУ-Транс</v>
      </c>
      <c r="D300">
        <f ca="1">IFERROR(__xludf.DUMMYFUNCTION("""COMPUTED_VALUE"""),53013942)</f>
        <v>53013942</v>
      </c>
      <c r="E300" t="str">
        <f ca="1">IFERROR(__xludf.DUMMYFUNCTION("""COMPUTED_VALUE"""),"68 ГЛУХОДОННЫЕ")</f>
        <v>68 ГЛУХОДОННЫЕ</v>
      </c>
      <c r="F300">
        <f ca="1">IFERROR(__xludf.DUMMYFUNCTION("""COMPUTED_VALUE"""),23239)</f>
        <v>23239</v>
      </c>
      <c r="G300" t="str">
        <f ca="1">IFERROR(__xludf.DUMMYFUNCTION("""COMPUTED_VALUE"""),"ЩЕБЕНЬ ГРАНИТ")</f>
        <v>ЩЕБЕНЬ ГРАНИТ</v>
      </c>
      <c r="H300">
        <f ca="1">IFERROR(__xludf.DUMMYFUNCTION("""COMPUTED_VALUE"""),71)</f>
        <v>71</v>
      </c>
      <c r="I300">
        <f ca="1">IFERROR(__xludf.DUMMYFUNCTION("""COMPUTED_VALUE"""),5933)</f>
        <v>5933</v>
      </c>
      <c r="J300" t="str">
        <f ca="1">IFERROR(__xludf.DUMMYFUNCTION("""COMPUTED_VALUE"""),"2001 (34000-061-37040) ШЕПЕТОВКА - КЛЕПАРОВ")</f>
        <v>2001 (34000-061-37040) ШЕПЕТОВКА - КЛЕПАРОВ</v>
      </c>
      <c r="K300">
        <f ca="1">IFERROR(__xludf.DUMMYFUNCTION("""COMPUTED_VALUE"""),34000)</f>
        <v>34000</v>
      </c>
      <c r="L300" t="str">
        <f ca="1">IFERROR(__xludf.DUMMYFUNCTION("""COMPUTED_VALUE"""),"ШЕПЕТОВКА")</f>
        <v>ШЕПЕТОВКА</v>
      </c>
      <c r="M300" t="str">
        <f ca="1">IFERROR(__xludf.DUMMYFUNCTION("""COMPUTED_VALUE"""),"12.08.21 06-41")</f>
        <v>12.08.21 06-41</v>
      </c>
      <c r="N300" t="str">
        <f ca="1">IFERROR(__xludf.DUMMYFUNCTION("""COMPUTED_VALUE"""),"05 ФОРМ")</f>
        <v>05 ФОРМ</v>
      </c>
      <c r="O300">
        <f ca="1">IFERROR(__xludf.DUMMYFUNCTION("""COMPUTED_VALUE"""),37860)</f>
        <v>37860</v>
      </c>
      <c r="P300" t="str">
        <f ca="1">IFERROR(__xludf.DUMMYFUNCTION("""COMPUTED_VALUE"""),"ПЕРСЕНКОВКА")</f>
        <v>ПЕРСЕНКОВКА</v>
      </c>
      <c r="Q300">
        <f ca="1">IFERROR(__xludf.DUMMYFUNCTION("""COMPUTED_VALUE"""),34160)</f>
        <v>34160</v>
      </c>
      <c r="R300" t="str">
        <f ca="1">IFERROR(__xludf.DUMMYFUNCTION("""COMPUTED_VALUE"""),"ПОНИНКА")</f>
        <v>ПОНИНКА</v>
      </c>
      <c r="S300" t="str">
        <f ca="1">IFERROR(__xludf.DUMMYFUNCTION("""COMPUTED_VALUE"""),"10.08.21 19-30")</f>
        <v>10.08.21 19-30</v>
      </c>
      <c r="T300">
        <f ca="1">IFERROR(__xludf.DUMMYFUNCTION("""COMPUTED_VALUE"""),3556)</f>
        <v>3556</v>
      </c>
      <c r="U300" t="str">
        <f ca="1">IFERROR(__xludf.DUMMYFUNCTION("""COMPUTED_VALUE"""),"12.01.2022 ДР")</f>
        <v>12.01.2022 ДР</v>
      </c>
      <c r="Z300" t="str">
        <f ca="1">IFERROR(__xludf.DUMMYFUNCTION("""COMPUTED_VALUE"""),"ООО «ЕУ-Транс»")</f>
        <v>ООО «ЕУ-Транс»</v>
      </c>
      <c r="AA300" t="str">
        <f ca="1">IFERROR(__xludf.DUMMYFUNCTION("""COMPUTED_VALUE"""),"12-1592")</f>
        <v>12-1592</v>
      </c>
      <c r="AB300" t="str">
        <f ca="1">IFERROR(__xludf.DUMMYFUNCTION("""COMPUTED_VALUE"""),"45 ПРИДН")</f>
        <v>45 ПРИДН</v>
      </c>
      <c r="AC300" t="str">
        <f ca="1">IFERROR(__xludf.DUMMYFUNCTION("""COMPUTED_VALUE"""),"45770 ШМАКОВО")</f>
        <v>45770 ШМАКОВО</v>
      </c>
      <c r="AD300" t="str">
        <f ca="1">IFERROR(__xludf.DUMMYFUNCTION("""COMPUTED_VALUE"""),"22.09.20 22-00")</f>
        <v>22.09.20 22-00</v>
      </c>
      <c r="AE30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00" t="str">
        <f ca="1">IFERROR(__xludf.DUMMYFUNCTION("""COMPUTED_VALUE"""),"45 ПРИДН")</f>
        <v>45 ПРИДН</v>
      </c>
      <c r="AG300" t="str">
        <f ca="1">IFERROR(__xludf.DUMMYFUNCTION("""COMPUTED_VALUE"""),"45770 ШМАКОВО")</f>
        <v>45770 ШМАКОВО</v>
      </c>
      <c r="AH300" t="str">
        <f ca="1">IFERROR(__xludf.DUMMYFUNCTION("""COMPUTED_VALUE"""),"24.09.20 07-00")</f>
        <v>24.09.20 07-00</v>
      </c>
      <c r="AI300" s="21">
        <f ca="1">IFERROR(__xludf.DUMMYFUNCTION("""COMPUTED_VALUE"""),44420.357662037)</f>
        <v>44420.357662037</v>
      </c>
    </row>
    <row r="301" spans="1:35" ht="13" x14ac:dyDescent="0.15">
      <c r="A301">
        <f ca="1">IFERROR(__xludf.DUMMYFUNCTION("""COMPUTED_VALUE"""),1158)</f>
        <v>1158</v>
      </c>
      <c r="B301" t="str">
        <f ca="1">IFERROR(__xludf.DUMMYFUNCTION("""COMPUTED_VALUE"""),"Вектор Транс")</f>
        <v>Вектор Транс</v>
      </c>
      <c r="C301" t="str">
        <f ca="1">IFERROR(__xludf.DUMMYFUNCTION("""COMPUTED_VALUE"""),"ЕУ-Транс")</f>
        <v>ЕУ-Транс</v>
      </c>
      <c r="D301">
        <f ca="1">IFERROR(__xludf.DUMMYFUNCTION("""COMPUTED_VALUE"""),56730765)</f>
        <v>56730765</v>
      </c>
      <c r="E301" t="str">
        <f ca="1">IFERROR(__xludf.DUMMYFUNCTION("""COMPUTED_VALUE"""),"68 ГЛУХОДОННЫЕ")</f>
        <v>68 ГЛУХОДОННЫЕ</v>
      </c>
      <c r="F301">
        <f ca="1">IFERROR(__xludf.DUMMYFUNCTION("""COMPUTED_VALUE"""),42103)</f>
        <v>42103</v>
      </c>
      <c r="G301" t="str">
        <f ca="1">IFERROR(__xludf.DUMMYFUNCTION("""COMPUTED_VALUE"""),"ВАГОНЫ ЖД СВ")</f>
        <v>ВАГОНЫ ЖД СВ</v>
      </c>
      <c r="H301">
        <f ca="1">IFERROR(__xludf.DUMMYFUNCTION("""COMPUTED_VALUE"""),0)</f>
        <v>0</v>
      </c>
      <c r="I301">
        <f ca="1">IFERROR(__xludf.DUMMYFUNCTION("""COMPUTED_VALUE"""),3556)</f>
        <v>3556</v>
      </c>
      <c r="J301" t="str">
        <f ca="1">IFERROR(__xludf.DUMMYFUNCTION("""COMPUTED_VALUE"""),"3404 (34000-060-34270) ШЕПЕТОВКА - КАЗАТИН I")</f>
        <v>3404 (34000-060-34270) ШЕПЕТОВКА - КАЗАТИН I</v>
      </c>
      <c r="K301">
        <f ca="1">IFERROR(__xludf.DUMMYFUNCTION("""COMPUTED_VALUE"""),34170)</f>
        <v>34170</v>
      </c>
      <c r="L301" t="str">
        <f ca="1">IFERROR(__xludf.DUMMYFUNCTION("""COMPUTED_VALUE"""),"ПОЛОННОЕ")</f>
        <v>ПОЛОННОЕ</v>
      </c>
      <c r="M301" t="str">
        <f ca="1">IFERROR(__xludf.DUMMYFUNCTION("""COMPUTED_VALUE"""),"12.08.21 08-10")</f>
        <v>12.08.21 08-10</v>
      </c>
      <c r="N301" t="str">
        <f ca="1">IFERROR(__xludf.DUMMYFUNCTION("""COMPUTED_VALUE"""),"72 ОТЦ")</f>
        <v>72 ОТЦ</v>
      </c>
      <c r="O301">
        <f ca="1">IFERROR(__xludf.DUMMYFUNCTION("""COMPUTED_VALUE"""),34160)</f>
        <v>34160</v>
      </c>
      <c r="P301" t="str">
        <f ca="1">IFERROR(__xludf.DUMMYFUNCTION("""COMPUTED_VALUE"""),"ПОНИНКА")</f>
        <v>ПОНИНКА</v>
      </c>
      <c r="Q301">
        <f ca="1">IFERROR(__xludf.DUMMYFUNCTION("""COMPUTED_VALUE"""),37860)</f>
        <v>37860</v>
      </c>
      <c r="R301" t="str">
        <f ca="1">IFERROR(__xludf.DUMMYFUNCTION("""COMPUTED_VALUE"""),"ПЕРСЕНКОВКА")</f>
        <v>ПЕРСЕНКОВКА</v>
      </c>
      <c r="S301" t="str">
        <f ca="1">IFERROR(__xludf.DUMMYFUNCTION("""COMPUTED_VALUE"""),"04.08.21 17-55")</f>
        <v>04.08.21 17-55</v>
      </c>
      <c r="T301">
        <f ca="1">IFERROR(__xludf.DUMMYFUNCTION("""COMPUTED_VALUE"""),5933)</f>
        <v>5933</v>
      </c>
      <c r="U301" t="str">
        <f ca="1">IFERROR(__xludf.DUMMYFUNCTION("""COMPUTED_VALUE"""),"13.01.2022 ДР")</f>
        <v>13.01.2022 ДР</v>
      </c>
      <c r="Z301" t="str">
        <f ca="1">IFERROR(__xludf.DUMMYFUNCTION("""COMPUTED_VALUE"""),"ООО «ЕУ-Транс»")</f>
        <v>ООО «ЕУ-Транс»</v>
      </c>
      <c r="AA301" t="str">
        <f ca="1">IFERROR(__xludf.DUMMYFUNCTION("""COMPUTED_VALUE"""),"12-1592")</f>
        <v>12-1592</v>
      </c>
      <c r="AB301" t="str">
        <f ca="1">IFERROR(__xludf.DUMMYFUNCTION("""COMPUTED_VALUE"""),"45 ПРИДН")</f>
        <v>45 ПРИДН</v>
      </c>
      <c r="AC301" t="str">
        <f ca="1">IFERROR(__xludf.DUMMYFUNCTION("""COMPUTED_VALUE"""),"45520 НИКОЛАЕВ-ДОН")</f>
        <v>45520 НИКОЛАЕВ-ДОН</v>
      </c>
      <c r="AD301" t="str">
        <f ca="1">IFERROR(__xludf.DUMMYFUNCTION("""COMPUTED_VALUE"""),"04.11.20 20-05")</f>
        <v>04.11.20 20-05</v>
      </c>
      <c r="AE301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01" t="str">
        <f ca="1">IFERROR(__xludf.DUMMYFUNCTION("""COMPUTED_VALUE"""),"45 ПРИДН")</f>
        <v>45 ПРИДН</v>
      </c>
      <c r="AG301" t="str">
        <f ca="1">IFERROR(__xludf.DUMMYFUNCTION("""COMPUTED_VALUE"""),"45520 НИКОЛАЕВ-ДОН")</f>
        <v>45520 НИКОЛАЕВ-ДОН</v>
      </c>
      <c r="AH301" t="str">
        <f ca="1">IFERROR(__xludf.DUMMYFUNCTION("""COMPUTED_VALUE"""),"05.11.20 21-05")</f>
        <v>05.11.20 21-05</v>
      </c>
      <c r="AI301" s="21">
        <f ca="1">IFERROR(__xludf.DUMMYFUNCTION("""COMPUTED_VALUE"""),44420.357662037)</f>
        <v>44420.357662037</v>
      </c>
    </row>
    <row r="302" spans="1:35" ht="13" x14ac:dyDescent="0.15">
      <c r="A302">
        <f ca="1">IFERROR(__xludf.DUMMYFUNCTION("""COMPUTED_VALUE"""),1159)</f>
        <v>1159</v>
      </c>
      <c r="B302" t="str">
        <f ca="1">IFERROR(__xludf.DUMMYFUNCTION("""COMPUTED_VALUE"""),"Вектор Транс")</f>
        <v>Вектор Транс</v>
      </c>
      <c r="C302" t="str">
        <f ca="1">IFERROR(__xludf.DUMMYFUNCTION("""COMPUTED_VALUE"""),"ЕУ-Транс")</f>
        <v>ЕУ-Транс</v>
      </c>
      <c r="D302">
        <f ca="1">IFERROR(__xludf.DUMMYFUNCTION("""COMPUTED_VALUE"""),56727951)</f>
        <v>56727951</v>
      </c>
      <c r="E302" t="str">
        <f ca="1">IFERROR(__xludf.DUMMYFUNCTION("""COMPUTED_VALUE"""),"68 ГЛУХОДОННЫЕ")</f>
        <v>68 ГЛУХОДОННЫЕ</v>
      </c>
      <c r="F302">
        <f ca="1">IFERROR(__xludf.DUMMYFUNCTION("""COMPUTED_VALUE"""),23239)</f>
        <v>23239</v>
      </c>
      <c r="G302" t="str">
        <f ca="1">IFERROR(__xludf.DUMMYFUNCTION("""COMPUTED_VALUE"""),"ЩЕБЕНЬ ГРАНИТ")</f>
        <v>ЩЕБЕНЬ ГРАНИТ</v>
      </c>
      <c r="H302">
        <f ca="1">IFERROR(__xludf.DUMMYFUNCTION("""COMPUTED_VALUE"""),71)</f>
        <v>71</v>
      </c>
      <c r="I302">
        <f ca="1">IFERROR(__xludf.DUMMYFUNCTION("""COMPUTED_VALUE"""),5933)</f>
        <v>5933</v>
      </c>
      <c r="J302" t="str">
        <f ca="1">IFERROR(__xludf.DUMMYFUNCTION("""COMPUTED_VALUE"""),"2001 (34000-061-37040) ШЕПЕТОВКА - КЛЕПАРОВ")</f>
        <v>2001 (34000-061-37040) ШЕПЕТОВКА - КЛЕПАРОВ</v>
      </c>
      <c r="K302">
        <f ca="1">IFERROR(__xludf.DUMMYFUNCTION("""COMPUTED_VALUE"""),34000)</f>
        <v>34000</v>
      </c>
      <c r="L302" t="str">
        <f ca="1">IFERROR(__xludf.DUMMYFUNCTION("""COMPUTED_VALUE"""),"ШЕПЕТОВКА")</f>
        <v>ШЕПЕТОВКА</v>
      </c>
      <c r="M302" t="str">
        <f ca="1">IFERROR(__xludf.DUMMYFUNCTION("""COMPUTED_VALUE"""),"12.08.21 06-41")</f>
        <v>12.08.21 06-41</v>
      </c>
      <c r="N302" t="str">
        <f ca="1">IFERROR(__xludf.DUMMYFUNCTION("""COMPUTED_VALUE"""),"05 ФОРМ")</f>
        <v>05 ФОРМ</v>
      </c>
      <c r="O302">
        <f ca="1">IFERROR(__xludf.DUMMYFUNCTION("""COMPUTED_VALUE"""),37860)</f>
        <v>37860</v>
      </c>
      <c r="P302" t="str">
        <f ca="1">IFERROR(__xludf.DUMMYFUNCTION("""COMPUTED_VALUE"""),"ПЕРСЕНКОВКА")</f>
        <v>ПЕРСЕНКОВКА</v>
      </c>
      <c r="Q302">
        <f ca="1">IFERROR(__xludf.DUMMYFUNCTION("""COMPUTED_VALUE"""),34160)</f>
        <v>34160</v>
      </c>
      <c r="R302" t="str">
        <f ca="1">IFERROR(__xludf.DUMMYFUNCTION("""COMPUTED_VALUE"""),"ПОНИНКА")</f>
        <v>ПОНИНКА</v>
      </c>
      <c r="S302" t="str">
        <f ca="1">IFERROR(__xludf.DUMMYFUNCTION("""COMPUTED_VALUE"""),"10.08.21 19-30")</f>
        <v>10.08.21 19-30</v>
      </c>
      <c r="T302">
        <f ca="1">IFERROR(__xludf.DUMMYFUNCTION("""COMPUTED_VALUE"""),3556)</f>
        <v>3556</v>
      </c>
      <c r="U302" t="str">
        <f ca="1">IFERROR(__xludf.DUMMYFUNCTION("""COMPUTED_VALUE"""),"02.12.2023 ДР")</f>
        <v>02.12.2023 ДР</v>
      </c>
      <c r="Z302" t="str">
        <f ca="1">IFERROR(__xludf.DUMMYFUNCTION("""COMPUTED_VALUE"""),"ООО «ЕУ-Транс»")</f>
        <v>ООО «ЕУ-Транс»</v>
      </c>
      <c r="AA302" t="str">
        <f ca="1">IFERROR(__xludf.DUMMYFUNCTION("""COMPUTED_VALUE"""),"12-1592")</f>
        <v>12-1592</v>
      </c>
      <c r="AB302" t="str">
        <f ca="1">IFERROR(__xludf.DUMMYFUNCTION("""COMPUTED_VALUE"""),"40 ОД")</f>
        <v>40 ОД</v>
      </c>
      <c r="AC302" t="str">
        <f ca="1">IFERROR(__xludf.DUMMYFUNCTION("""COMPUTED_VALUE"""),"41190 ПОМОШНАЯ")</f>
        <v>41190 ПОМОШНАЯ</v>
      </c>
      <c r="AD302" t="str">
        <f ca="1">IFERROR(__xludf.DUMMYFUNCTION("""COMPUTED_VALUE"""),"01.12.20 13-00")</f>
        <v>01.12.20 13-00</v>
      </c>
      <c r="AE302" t="str">
        <f ca="1">IFERROR(__xludf.DUMMYFUNCTION("""COMPUTED_VALUE"""),"570 ИCТEК КAЛЕНДАРНЫЙ CPOК ДEПOВCКОГО PEМOНТA")</f>
        <v>570 ИCТEК КAЛЕНДАРНЫЙ CPOК ДEПOВCКОГО PEМOНТA</v>
      </c>
      <c r="AF302" t="str">
        <f ca="1">IFERROR(__xludf.DUMMYFUNCTION("""COMPUTED_VALUE"""),"40 ОД")</f>
        <v>40 ОД</v>
      </c>
      <c r="AG302" t="str">
        <f ca="1">IFERROR(__xludf.DUMMYFUNCTION("""COMPUTED_VALUE"""),"41190 ПОМОШНАЯ")</f>
        <v>41190 ПОМОШНАЯ</v>
      </c>
      <c r="AH302" t="str">
        <f ca="1">IFERROR(__xludf.DUMMYFUNCTION("""COMPUTED_VALUE"""),"02.12.20 18-30")</f>
        <v>02.12.20 18-30</v>
      </c>
      <c r="AI302" s="21">
        <f ca="1">IFERROR(__xludf.DUMMYFUNCTION("""COMPUTED_VALUE"""),44420.357662037)</f>
        <v>44420.357662037</v>
      </c>
    </row>
    <row r="303" spans="1:35" ht="13" x14ac:dyDescent="0.15">
      <c r="A303">
        <f ca="1">IFERROR(__xludf.DUMMYFUNCTION("""COMPUTED_VALUE"""),1160)</f>
        <v>1160</v>
      </c>
      <c r="B303" t="str">
        <f ca="1">IFERROR(__xludf.DUMMYFUNCTION("""COMPUTED_VALUE"""),"Техрейс")</f>
        <v>Техрейс</v>
      </c>
      <c r="C303" t="str">
        <f ca="1">IFERROR(__xludf.DUMMYFUNCTION("""COMPUTED_VALUE"""),"ЕУ-Транс")</f>
        <v>ЕУ-Транс</v>
      </c>
      <c r="D303">
        <f ca="1">IFERROR(__xludf.DUMMYFUNCTION("""COMPUTED_VALUE"""),56624307)</f>
        <v>56624307</v>
      </c>
      <c r="E303" t="str">
        <f ca="1">IFERROR(__xludf.DUMMYFUNCTION("""COMPUTED_VALUE"""),"60 ПОЛУВАГОНЫ")</f>
        <v>60 ПОЛУВАГОНЫ</v>
      </c>
      <c r="F303">
        <f ca="1">IFERROR(__xludf.DUMMYFUNCTION("""COMPUTED_VALUE"""),42103)</f>
        <v>42103</v>
      </c>
      <c r="G303" t="str">
        <f ca="1">IFERROR(__xludf.DUMMYFUNCTION("""COMPUTED_VALUE"""),"ВАГОНЫ ЖД СВ")</f>
        <v>ВАГОНЫ ЖД СВ</v>
      </c>
      <c r="H303">
        <f ca="1">IFERROR(__xludf.DUMMYFUNCTION("""COMPUTED_VALUE"""),0)</f>
        <v>0</v>
      </c>
      <c r="I303">
        <f ca="1">IFERROR(__xludf.DUMMYFUNCTION("""COMPUTED_VALUE"""),8607)</f>
        <v>8607</v>
      </c>
      <c r="J303" t="str">
        <f ca="1">IFERROR(__xludf.DUMMYFUNCTION("""COMPUTED_VALUE"""),"3502 (34270-145-33850) КАЗАТИН I - ЖАШКОВ")</f>
        <v>3502 (34270-145-33850) КАЗАТИН I - ЖАШКОВ</v>
      </c>
      <c r="K303">
        <f ca="1">IFERROR(__xludf.DUMMYFUNCTION("""COMPUTED_VALUE"""),33870)</f>
        <v>33870</v>
      </c>
      <c r="L303" t="str">
        <f ca="1">IFERROR(__xludf.DUMMYFUNCTION("""COMPUTED_VALUE"""),"ТЕТИЕВ")</f>
        <v>ТЕТИЕВ</v>
      </c>
      <c r="M303" t="str">
        <f ca="1">IFERROR(__xludf.DUMMYFUNCTION("""COMPUTED_VALUE"""),"10.08.21 16-00")</f>
        <v>10.08.21 16-00</v>
      </c>
      <c r="N303" t="str">
        <f ca="1">IFERROR(__xludf.DUMMYFUNCTION("""COMPUTED_VALUE"""),"86 ОДПВ")</f>
        <v>86 ОДПВ</v>
      </c>
      <c r="O303">
        <f ca="1">IFERROR(__xludf.DUMMYFUNCTION("""COMPUTED_VALUE"""),33700)</f>
        <v>33700</v>
      </c>
      <c r="P303" t="str">
        <f ca="1">IFERROR(__xludf.DUMMYFUNCTION("""COMPUTED_VALUE"""),"ГУЛЕВЦЫ")</f>
        <v>ГУЛЕВЦЫ</v>
      </c>
      <c r="Q303">
        <f ca="1">IFERROR(__xludf.DUMMYFUNCTION("""COMPUTED_VALUE"""),33870)</f>
        <v>33870</v>
      </c>
      <c r="R303" t="str">
        <f ca="1">IFERROR(__xludf.DUMMYFUNCTION("""COMPUTED_VALUE"""),"ТЕТИЕВ")</f>
        <v>ТЕТИЕВ</v>
      </c>
      <c r="S303" t="str">
        <f ca="1">IFERROR(__xludf.DUMMYFUNCTION("""COMPUTED_VALUE"""),"10.08.21 16-00")</f>
        <v>10.08.21 16-00</v>
      </c>
      <c r="T303">
        <f ca="1">IFERROR(__xludf.DUMMYFUNCTION("""COMPUTED_VALUE"""),8200)</f>
        <v>8200</v>
      </c>
      <c r="U303" t="str">
        <f ca="1">IFERROR(__xludf.DUMMYFUNCTION("""COMPUTED_VALUE"""),"02.02.2024 ДР")</f>
        <v>02.02.2024 ДР</v>
      </c>
      <c r="Z303" t="str">
        <f ca="1">IFERROR(__xludf.DUMMYFUNCTION("""COMPUTED_VALUE"""),"ООО «ЕУ-Транс»")</f>
        <v>ООО «ЕУ-Транс»</v>
      </c>
      <c r="AA303" t="str">
        <f ca="1">IFERROR(__xludf.DUMMYFUNCTION("""COMPUTED_VALUE"""),"12-119")</f>
        <v>12-119</v>
      </c>
      <c r="AB303" t="str">
        <f ca="1">IFERROR(__xludf.DUMMYFUNCTION("""COMPUTED_VALUE"""),"45 ПРИДН")</f>
        <v>45 ПРИДН</v>
      </c>
      <c r="AC303" t="str">
        <f ca="1">IFERROR(__xludf.DUMMYFUNCTION("""COMPUTED_VALUE"""),"45060 НИЖНЕДНЕПРОВ")</f>
        <v>45060 НИЖНЕДНЕПРОВ</v>
      </c>
      <c r="AD303" t="str">
        <f ca="1">IFERROR(__xludf.DUMMYFUNCTION("""COMPUTED_VALUE"""),"02.02.21 07-25")</f>
        <v>02.02.21 07-25</v>
      </c>
      <c r="AE303" t="str">
        <f ca="1">IFERROR(__xludf.DUMMYFUNCTION("""COMPUTED_VALUE"""),"570 ИCТEК КAЛЕНДАРНЫЙ CPOК ДEПOВCКОГО PEМOНТA")</f>
        <v>570 ИCТEК КAЛЕНДАРНЫЙ CPOК ДEПOВCКОГО PEМOНТA</v>
      </c>
      <c r="AF303" t="str">
        <f ca="1">IFERROR(__xludf.DUMMYFUNCTION("""COMPUTED_VALUE"""),"45 ПРИДН")</f>
        <v>45 ПРИДН</v>
      </c>
      <c r="AG303" t="str">
        <f ca="1">IFERROR(__xludf.DUMMYFUNCTION("""COMPUTED_VALUE"""),"45060 НИЖНЕДНЕПРОВ")</f>
        <v>45060 НИЖНЕДНЕПРОВ</v>
      </c>
      <c r="AH303" t="str">
        <f ca="1">IFERROR(__xludf.DUMMYFUNCTION("""COMPUTED_VALUE"""),"02.02.21 10-41")</f>
        <v>02.02.21 10-41</v>
      </c>
      <c r="AI303" s="21">
        <f ca="1">IFERROR(__xludf.DUMMYFUNCTION("""COMPUTED_VALUE"""),44420.357662037)</f>
        <v>44420.357662037</v>
      </c>
    </row>
    <row r="304" spans="1:35" ht="13" x14ac:dyDescent="0.15">
      <c r="A304">
        <f ca="1">IFERROR(__xludf.DUMMYFUNCTION("""COMPUTED_VALUE"""),1247)</f>
        <v>1247</v>
      </c>
      <c r="B304" t="str">
        <f ca="1">IFERROR(__xludf.DUMMYFUNCTION("""COMPUTED_VALUE"""),"Техрейс")</f>
        <v>Техрейс</v>
      </c>
      <c r="C304" t="str">
        <f ca="1">IFERROR(__xludf.DUMMYFUNCTION("""COMPUTED_VALUE"""),"ЮТАЛ-ТРАНС")</f>
        <v>ЮТАЛ-ТРАНС</v>
      </c>
      <c r="D304">
        <f ca="1">IFERROR(__xludf.DUMMYFUNCTION("""COMPUTED_VALUE"""),56590987)</f>
        <v>56590987</v>
      </c>
      <c r="E304" t="str">
        <f ca="1">IFERROR(__xludf.DUMMYFUNCTION("""COMPUTED_VALUE"""),"60 ПОЛУВАГОНЫ")</f>
        <v>60 ПОЛУВАГОНЫ</v>
      </c>
      <c r="F304">
        <f ca="1">IFERROR(__xludf.DUMMYFUNCTION("""COMPUTED_VALUE"""),42103)</f>
        <v>42103</v>
      </c>
      <c r="G304" t="str">
        <f ca="1">IFERROR(__xludf.DUMMYFUNCTION("""COMPUTED_VALUE"""),"ВАГОНЫ ЖД СВ")</f>
        <v>ВАГОНЫ ЖД СВ</v>
      </c>
      <c r="H304">
        <f ca="1">IFERROR(__xludf.DUMMYFUNCTION("""COMPUTED_VALUE"""),0)</f>
        <v>0</v>
      </c>
      <c r="I304">
        <f ca="1">IFERROR(__xludf.DUMMYFUNCTION("""COMPUTED_VALUE"""),4307)</f>
        <v>4307</v>
      </c>
      <c r="J304" t="str">
        <f ca="1">IFERROR(__xludf.DUMMYFUNCTION("""COMPUTED_VALUE"""),"3636 (40050-040-40000) БЕРЕГОВАЯ - ОДЕССА-СОРТ")</f>
        <v>3636 (40050-040-40000) БЕРЕГОВАЯ - ОДЕССА-СОРТ</v>
      </c>
      <c r="K304">
        <f ca="1">IFERROR(__xludf.DUMMYFUNCTION("""COMPUTED_VALUE"""),40110)</f>
        <v>40110</v>
      </c>
      <c r="L304" t="str">
        <f ca="1">IFERROR(__xludf.DUMMYFUNCTION("""COMPUTED_VALUE"""),"ЧЕРНОМОРСКАЯ")</f>
        <v>ЧЕРНОМОРСКАЯ</v>
      </c>
      <c r="M304" t="str">
        <f ca="1">IFERROR(__xludf.DUMMYFUNCTION("""COMPUTED_VALUE"""),"11.08.21 06-52")</f>
        <v>11.08.21 06-52</v>
      </c>
      <c r="N304" t="str">
        <f ca="1">IFERROR(__xludf.DUMMYFUNCTION("""COMPUTED_VALUE"""),"85 ПРСТ")</f>
        <v>85 ПРСТ</v>
      </c>
      <c r="O304">
        <f ca="1">IFERROR(__xludf.DUMMYFUNCTION("""COMPUTED_VALUE"""),40200)</f>
        <v>40200</v>
      </c>
      <c r="P304" t="str">
        <f ca="1">IFERROR(__xludf.DUMMYFUNCTION("""COMPUTED_VALUE"""),"ЧЕРНОМОРСК-П")</f>
        <v>ЧЕРНОМОРСК-П</v>
      </c>
      <c r="Q304">
        <f ca="1">IFERROR(__xludf.DUMMYFUNCTION("""COMPUTED_VALUE"""),40050)</f>
        <v>40050</v>
      </c>
      <c r="R304" t="str">
        <f ca="1">IFERROR(__xludf.DUMMYFUNCTION("""COMPUTED_VALUE"""),"БЕРЕГОВАЯ")</f>
        <v>БЕРЕГОВАЯ</v>
      </c>
      <c r="S304" t="str">
        <f ca="1">IFERROR(__xludf.DUMMYFUNCTION("""COMPUTED_VALUE"""),"08.08.21 13-45")</f>
        <v>08.08.21 13-45</v>
      </c>
      <c r="T304">
        <f ca="1">IFERROR(__xludf.DUMMYFUNCTION("""COMPUTED_VALUE"""),8200)</f>
        <v>8200</v>
      </c>
      <c r="U304" t="str">
        <f ca="1">IFERROR(__xludf.DUMMYFUNCTION("""COMPUTED_VALUE"""),"21.01.2023 ДР")</f>
        <v>21.01.2023 ДР</v>
      </c>
      <c r="Z304" t="str">
        <f ca="1">IFERROR(__xludf.DUMMYFUNCTION("""COMPUTED_VALUE"""),"ООО ""КОМПАНИЯ ""ЮТАЛ-ТРАНС""")</f>
        <v>ООО "КОМПАНИЯ "ЮТАЛ-ТРАНС"</v>
      </c>
      <c r="AA304" t="str">
        <f ca="1">IFERROR(__xludf.DUMMYFUNCTION("""COMPUTED_VALUE"""),"12-532")</f>
        <v>12-532</v>
      </c>
      <c r="AB304" t="str">
        <f ca="1">IFERROR(__xludf.DUMMYFUNCTION("""COMPUTED_VALUE"""),"32 Ю-ЗАП")</f>
        <v>32 Ю-ЗАП</v>
      </c>
      <c r="AC304" t="str">
        <f ca="1">IFERROR(__xludf.DUMMYFUNCTION("""COMPUTED_VALUE"""),"33000 ЖМЕРИНКА")</f>
        <v>33000 ЖМЕРИНКА</v>
      </c>
      <c r="AD304" t="str">
        <f ca="1">IFERROR(__xludf.DUMMYFUNCTION("""COMPUTED_VALUE"""),"16.05.21 03-48")</f>
        <v>16.05.21 03-48</v>
      </c>
      <c r="AE304" t="str">
        <f ca="1">IFERROR(__xludf.DUMMYFUNCTION("""COMPUTED_VALUE"""),"540 НEИCПPAВНOCТЬ ЗAПOPA ЛЮКA")</f>
        <v>540 НEИCПPAВНOCТЬ ЗAПOPA ЛЮКA</v>
      </c>
      <c r="AF304" t="str">
        <f ca="1">IFERROR(__xludf.DUMMYFUNCTION("""COMPUTED_VALUE"""),"32 Ю-ЗАП")</f>
        <v>32 Ю-ЗАП</v>
      </c>
      <c r="AG304" t="str">
        <f ca="1">IFERROR(__xludf.DUMMYFUNCTION("""COMPUTED_VALUE"""),"33000 ЖМЕРИНКА")</f>
        <v>33000 ЖМЕРИНКА</v>
      </c>
      <c r="AH304" t="str">
        <f ca="1">IFERROR(__xludf.DUMMYFUNCTION("""COMPUTED_VALUE"""),"22.05.21 14-00")</f>
        <v>22.05.21 14-00</v>
      </c>
      <c r="AI304" s="21">
        <f ca="1">IFERROR(__xludf.DUMMYFUNCTION("""COMPUTED_VALUE"""),44420.357662037)</f>
        <v>44420.357662037</v>
      </c>
    </row>
    <row r="305" spans="1:35" ht="13" x14ac:dyDescent="0.15">
      <c r="A305">
        <f ca="1">IFERROR(__xludf.DUMMYFUNCTION("""COMPUTED_VALUE"""),1212)</f>
        <v>1212</v>
      </c>
      <c r="B305" t="str">
        <f ca="1">IFERROR(__xludf.DUMMYFUNCTION("""COMPUTED_VALUE"""),"Техрейс")</f>
        <v>Техрейс</v>
      </c>
      <c r="C305" t="str">
        <f ca="1">IFERROR(__xludf.DUMMYFUNCTION("""COMPUTED_VALUE"""),"ЮТАЛ-ТРАНС")</f>
        <v>ЮТАЛ-ТРАНС</v>
      </c>
      <c r="D305">
        <f ca="1">IFERROR(__xludf.DUMMYFUNCTION("""COMPUTED_VALUE"""),52244233)</f>
        <v>52244233</v>
      </c>
      <c r="E305" t="str">
        <f ca="1">IFERROR(__xludf.DUMMYFUNCTION("""COMPUTED_VALUE"""),"60 ПОЛУВАГОНЫ")</f>
        <v>60 ПОЛУВАГОНЫ</v>
      </c>
      <c r="F305">
        <f ca="1">IFERROR(__xludf.DUMMYFUNCTION("""COMPUTED_VALUE"""),42103)</f>
        <v>42103</v>
      </c>
      <c r="G305" t="str">
        <f ca="1">IFERROR(__xludf.DUMMYFUNCTION("""COMPUTED_VALUE"""),"ВАГОНЫ ЖД СВ")</f>
        <v>ВАГОНЫ ЖД СВ</v>
      </c>
      <c r="H305">
        <f ca="1">IFERROR(__xludf.DUMMYFUNCTION("""COMPUTED_VALUE"""),0)</f>
        <v>0</v>
      </c>
      <c r="I305">
        <f ca="1">IFERROR(__xludf.DUMMYFUNCTION("""COMPUTED_VALUE"""),5343)</f>
        <v>5343</v>
      </c>
      <c r="J305" t="str">
        <f ca="1">IFERROR(__xludf.DUMMYFUNCTION("""COMPUTED_VALUE"""),"1111 (48280-002-48200) АВДЕЕВКА - ПОКРОВСК")</f>
        <v>1111 (48280-002-48200) АВДЕЕВКА - ПОКРОВСК</v>
      </c>
      <c r="K305">
        <f ca="1">IFERROR(__xludf.DUMMYFUNCTION("""COMPUTED_VALUE"""),48280)</f>
        <v>48280</v>
      </c>
      <c r="L305" t="str">
        <f ca="1">IFERROR(__xludf.DUMMYFUNCTION("""COMPUTED_VALUE"""),"АВДЕЕВКА")</f>
        <v>АВДЕЕВКА</v>
      </c>
      <c r="M305" t="str">
        <f ca="1">IFERROR(__xludf.DUMMYFUNCTION("""COMPUTED_VALUE"""),"12.08.21 05-22")</f>
        <v>12.08.21 05-22</v>
      </c>
      <c r="N305" t="str">
        <f ca="1">IFERROR(__xludf.DUMMYFUNCTION("""COMPUTED_VALUE"""),"71 ПРИЦ")</f>
        <v>71 ПРИЦ</v>
      </c>
      <c r="O305">
        <f ca="1">IFERROR(__xludf.DUMMYFUNCTION("""COMPUTED_VALUE"""),46720)</f>
        <v>46720</v>
      </c>
      <c r="P305" t="str">
        <f ca="1">IFERROR(__xludf.DUMMYFUNCTION("""COMPUTED_VALUE"""),"КРИВОЙ РОГ")</f>
        <v>КРИВОЙ РОГ</v>
      </c>
      <c r="Q305">
        <f ca="1">IFERROR(__xludf.DUMMYFUNCTION("""COMPUTED_VALUE"""),48280)</f>
        <v>48280</v>
      </c>
      <c r="R305" t="str">
        <f ca="1">IFERROR(__xludf.DUMMYFUNCTION("""COMPUTED_VALUE"""),"АВДЕЕВКА")</f>
        <v>АВДЕЕВКА</v>
      </c>
      <c r="S305" t="str">
        <f ca="1">IFERROR(__xludf.DUMMYFUNCTION("""COMPUTED_VALUE"""),"11.08.21 01-40")</f>
        <v>11.08.21 01-40</v>
      </c>
      <c r="T305">
        <f ca="1">IFERROR(__xludf.DUMMYFUNCTION("""COMPUTED_VALUE"""),7253)</f>
        <v>7253</v>
      </c>
      <c r="U305" t="str">
        <f ca="1">IFERROR(__xludf.DUMMYFUNCTION("""COMPUTED_VALUE"""),"19.08.2022 ДР")</f>
        <v>19.08.2022 ДР</v>
      </c>
      <c r="Z305" t="str">
        <f ca="1">IFERROR(__xludf.DUMMYFUNCTION("""COMPUTED_VALUE"""),"ООО ""КОМПАНИЯ ""ЮТАЛ-ТРАНС""")</f>
        <v>ООО "КОМПАНИЯ "ЮТАЛ-ТРАНС"</v>
      </c>
      <c r="AA305" t="str">
        <f ca="1">IFERROR(__xludf.DUMMYFUNCTION("""COMPUTED_VALUE"""),"12-9745")</f>
        <v>12-9745</v>
      </c>
      <c r="AB305" t="str">
        <f ca="1">IFERROR(__xludf.DUMMYFUNCTION("""COMPUTED_VALUE"""),"45 ПРИДН")</f>
        <v>45 ПРИДН</v>
      </c>
      <c r="AC305" t="str">
        <f ca="1">IFERROR(__xludf.DUMMYFUNCTION("""COMPUTED_VALUE"""),"46690 БАТУРИНСКАЯ")</f>
        <v>46690 БАТУРИНСКАЯ</v>
      </c>
      <c r="AD305" t="str">
        <f ca="1">IFERROR(__xludf.DUMMYFUNCTION("""COMPUTED_VALUE"""),"28.01.21 17-45")</f>
        <v>28.01.21 17-45</v>
      </c>
      <c r="AE305" t="str">
        <f ca="1">IFERROR(__xludf.DUMMYFUNCTION("""COMPUTED_VALUE"""),"101 CXOД C PEЛЬC")</f>
        <v>101 CXOД C PEЛЬC</v>
      </c>
      <c r="AF305" t="str">
        <f ca="1">IFERROR(__xludf.DUMMYFUNCTION("""COMPUTED_VALUE"""),"45 ПРИДН")</f>
        <v>45 ПРИДН</v>
      </c>
      <c r="AG305" t="str">
        <f ca="1">IFERROR(__xludf.DUMMYFUNCTION("""COMPUTED_VALUE"""),"46690 БАТУРИНСКАЯ")</f>
        <v>46690 БАТУРИНСКАЯ</v>
      </c>
      <c r="AH305" t="str">
        <f ca="1">IFERROR(__xludf.DUMMYFUNCTION("""COMPUTED_VALUE"""),"12.02.21 12-15")</f>
        <v>12.02.21 12-15</v>
      </c>
      <c r="AI305" s="21">
        <f ca="1">IFERROR(__xludf.DUMMYFUNCTION("""COMPUTED_VALUE"""),44420.357662037)</f>
        <v>44420.357662037</v>
      </c>
    </row>
    <row r="306" spans="1:35" ht="13" x14ac:dyDescent="0.15">
      <c r="A306">
        <f ca="1">IFERROR(__xludf.DUMMYFUNCTION("""COMPUTED_VALUE"""),1213)</f>
        <v>1213</v>
      </c>
      <c r="B306" t="str">
        <f ca="1">IFERROR(__xludf.DUMMYFUNCTION("""COMPUTED_VALUE"""),"Техрейс")</f>
        <v>Техрейс</v>
      </c>
      <c r="C306" t="str">
        <f ca="1">IFERROR(__xludf.DUMMYFUNCTION("""COMPUTED_VALUE"""),"ЮТАЛ-ТРАНС")</f>
        <v>ЮТАЛ-ТРАНС</v>
      </c>
      <c r="D306">
        <f ca="1">IFERROR(__xludf.DUMMYFUNCTION("""COMPUTED_VALUE"""),52244308)</f>
        <v>52244308</v>
      </c>
      <c r="E306" t="str">
        <f ca="1">IFERROR(__xludf.DUMMYFUNCTION("""COMPUTED_VALUE"""),"60 ПОЛУВАГОНЫ")</f>
        <v>60 ПОЛУВАГОНЫ</v>
      </c>
      <c r="F306">
        <f ca="1">IFERROR(__xludf.DUMMYFUNCTION("""COMPUTED_VALUE"""),14109)</f>
        <v>14109</v>
      </c>
      <c r="G306" t="str">
        <f ca="1">IFERROR(__xludf.DUMMYFUNCTION("""COMPUTED_VALUE"""),"ГЕМАТИТ")</f>
        <v>ГЕМАТИТ</v>
      </c>
      <c r="H306">
        <f ca="1">IFERROR(__xludf.DUMMYFUNCTION("""COMPUTED_VALUE"""),70)</f>
        <v>70</v>
      </c>
      <c r="I306">
        <f ca="1">IFERROR(__xludf.DUMMYFUNCTION("""COMPUTED_VALUE"""),5786)</f>
        <v>5786</v>
      </c>
      <c r="J306" t="str">
        <f ca="1">IFERROR(__xludf.DUMMYFUNCTION("""COMPUTED_VALUE"""),"1609 (46720-447-40050) КРИВОЙ РОГ - БЕРЕГОВАЯ")</f>
        <v>1609 (46720-447-40050) КРИВОЙ РОГ - БЕРЕГОВАЯ</v>
      </c>
      <c r="K306">
        <f ca="1">IFERROR(__xludf.DUMMYFUNCTION("""COMPUTED_VALUE"""),40050)</f>
        <v>40050</v>
      </c>
      <c r="L306" t="str">
        <f ca="1">IFERROR(__xludf.DUMMYFUNCTION("""COMPUTED_VALUE"""),"БЕРЕГОВАЯ")</f>
        <v>БЕРЕГОВАЯ</v>
      </c>
      <c r="M306" t="str">
        <f ca="1">IFERROR(__xludf.DUMMYFUNCTION("""COMPUTED_VALUE"""),"12.08.21 07-31")</f>
        <v>12.08.21 07-31</v>
      </c>
      <c r="N306" t="str">
        <f ca="1">IFERROR(__xludf.DUMMYFUNCTION("""COMPUTED_VALUE"""),"04 РАСФ")</f>
        <v>04 РАСФ</v>
      </c>
      <c r="O306">
        <f ca="1">IFERROR(__xludf.DUMMYFUNCTION("""COMPUTED_VALUE"""),40060)</f>
        <v>40060</v>
      </c>
      <c r="P306" t="str">
        <f ca="1">IFERROR(__xludf.DUMMYFUNCTION("""COMPUTED_VALUE"""),"БЕРЕГОВАЯ-Э")</f>
        <v>БЕРЕГОВАЯ-Э</v>
      </c>
      <c r="Q306">
        <f ca="1">IFERROR(__xludf.DUMMYFUNCTION("""COMPUTED_VALUE"""),46720)</f>
        <v>46720</v>
      </c>
      <c r="R306" t="str">
        <f ca="1">IFERROR(__xludf.DUMMYFUNCTION("""COMPUTED_VALUE"""),"КРИВОЙ РОГ")</f>
        <v>КРИВОЙ РОГ</v>
      </c>
      <c r="S306" t="str">
        <f ca="1">IFERROR(__xludf.DUMMYFUNCTION("""COMPUTED_VALUE"""),"11.08.21 03-10")</f>
        <v>11.08.21 03-10</v>
      </c>
      <c r="T306">
        <f ca="1">IFERROR(__xludf.DUMMYFUNCTION("""COMPUTED_VALUE"""),5343)</f>
        <v>5343</v>
      </c>
      <c r="U306" t="str">
        <f ca="1">IFERROR(__xludf.DUMMYFUNCTION("""COMPUTED_VALUE"""),"09.11.2021 КР")</f>
        <v>09.11.2021 КР</v>
      </c>
      <c r="Z306" t="str">
        <f ca="1">IFERROR(__xludf.DUMMYFUNCTION("""COMPUTED_VALUE"""),"ООО ""КОМПАНИЯ ""ЮТАЛ-ТРАНС""")</f>
        <v>ООО "КОМПАНИЯ "ЮТАЛ-ТРАНС"</v>
      </c>
      <c r="AA306" t="str">
        <f ca="1">IFERROR(__xludf.DUMMYFUNCTION("""COMPUTED_VALUE"""),"12-9745")</f>
        <v>12-9745</v>
      </c>
      <c r="AB306" t="str">
        <f ca="1">IFERROR(__xludf.DUMMYFUNCTION("""COMPUTED_VALUE"""),"40 ОД")</f>
        <v>40 ОД</v>
      </c>
      <c r="AC306" t="str">
        <f ca="1">IFERROR(__xludf.DUMMYFUNCTION("""COMPUTED_VALUE"""),"41780 ХЕРСОН")</f>
        <v>41780 ХЕРСОН</v>
      </c>
      <c r="AD306" t="str">
        <f ca="1">IFERROR(__xludf.DUMMYFUNCTION("""COMPUTED_VALUE"""),"16.03.21 09-30")</f>
        <v>16.03.21 09-30</v>
      </c>
      <c r="AE306" t="str">
        <f ca="1">IFERROR(__xludf.DUMMYFUNCTION("""COMPUTED_VALUE"""),"540 НEИCПPAВНOCТЬ ЗAПOPA ЛЮКA")</f>
        <v>540 НEИCПPAВНOCТЬ ЗAПOPA ЛЮКA</v>
      </c>
      <c r="AF306" t="str">
        <f ca="1">IFERROR(__xludf.DUMMYFUNCTION("""COMPUTED_VALUE"""),"40 ОД")</f>
        <v>40 ОД</v>
      </c>
      <c r="AG306" t="str">
        <f ca="1">IFERROR(__xludf.DUMMYFUNCTION("""COMPUTED_VALUE"""),"41780 ХЕРСОН")</f>
        <v>41780 ХЕРСОН</v>
      </c>
      <c r="AH306" t="str">
        <f ca="1">IFERROR(__xludf.DUMMYFUNCTION("""COMPUTED_VALUE"""),"19.03.21 16-00")</f>
        <v>19.03.21 16-00</v>
      </c>
      <c r="AI306" s="21">
        <f ca="1">IFERROR(__xludf.DUMMYFUNCTION("""COMPUTED_VALUE"""),44420.357662037)</f>
        <v>44420.357662037</v>
      </c>
    </row>
    <row r="307" spans="1:35" ht="13" x14ac:dyDescent="0.15">
      <c r="A307">
        <f ca="1">IFERROR(__xludf.DUMMYFUNCTION("""COMPUTED_VALUE"""),1214)</f>
        <v>1214</v>
      </c>
      <c r="B307" t="str">
        <f ca="1">IFERROR(__xludf.DUMMYFUNCTION("""COMPUTED_VALUE"""),"Техрейс")</f>
        <v>Техрейс</v>
      </c>
      <c r="C307" t="str">
        <f ca="1">IFERROR(__xludf.DUMMYFUNCTION("""COMPUTED_VALUE"""),"ЮТАЛ-ТРАНС")</f>
        <v>ЮТАЛ-ТРАНС</v>
      </c>
      <c r="D307">
        <f ca="1">IFERROR(__xludf.DUMMYFUNCTION("""COMPUTED_VALUE"""),53101952)</f>
        <v>53101952</v>
      </c>
      <c r="E307" t="str">
        <f ca="1">IFERROR(__xludf.DUMMYFUNCTION("""COMPUTED_VALUE"""),"60 ПОЛУВАГОНЫ")</f>
        <v>60 ПОЛУВАГОНЫ</v>
      </c>
      <c r="F307">
        <f ca="1">IFERROR(__xludf.DUMMYFUNCTION("""COMPUTED_VALUE"""),42103)</f>
        <v>42103</v>
      </c>
      <c r="G307" t="str">
        <f ca="1">IFERROR(__xludf.DUMMYFUNCTION("""COMPUTED_VALUE"""),"ВАГОНЫ ЖД СВ")</f>
        <v>ВАГОНЫ ЖД СВ</v>
      </c>
      <c r="H307">
        <f ca="1">IFERROR(__xludf.DUMMYFUNCTION("""COMPUTED_VALUE"""),0)</f>
        <v>0</v>
      </c>
      <c r="I307">
        <f ca="1">IFERROR(__xludf.DUMMYFUNCTION("""COMPUTED_VALUE"""),5343)</f>
        <v>5343</v>
      </c>
      <c r="J307" t="str">
        <f ca="1">IFERROR(__xludf.DUMMYFUNCTION("""COMPUTED_VALUE"""),"3501 (48280-098-48200) АВДЕЕВКА - ПОКРОВСК")</f>
        <v>3501 (48280-098-48200) АВДЕЕВКА - ПОКРОВСК</v>
      </c>
      <c r="K307">
        <f ca="1">IFERROR(__xludf.DUMMYFUNCTION("""COMPUTED_VALUE"""),48200)</f>
        <v>48200</v>
      </c>
      <c r="L307" t="str">
        <f ca="1">IFERROR(__xludf.DUMMYFUNCTION("""COMPUTED_VALUE"""),"ПОКРОВСК")</f>
        <v>ПОКРОВСК</v>
      </c>
      <c r="M307" t="str">
        <f ca="1">IFERROR(__xludf.DUMMYFUNCTION("""COMPUTED_VALUE"""),"12.08.21 05-34")</f>
        <v>12.08.21 05-34</v>
      </c>
      <c r="N307" t="str">
        <f ca="1">IFERROR(__xludf.DUMMYFUNCTION("""COMPUTED_VALUE"""),"04 РАСФ")</f>
        <v>04 РАСФ</v>
      </c>
      <c r="O307">
        <f ca="1">IFERROR(__xludf.DUMMYFUNCTION("""COMPUTED_VALUE"""),46720)</f>
        <v>46720</v>
      </c>
      <c r="P307" t="str">
        <f ca="1">IFERROR(__xludf.DUMMYFUNCTION("""COMPUTED_VALUE"""),"КРИВОЙ РОГ")</f>
        <v>КРИВОЙ РОГ</v>
      </c>
      <c r="Q307">
        <f ca="1">IFERROR(__xludf.DUMMYFUNCTION("""COMPUTED_VALUE"""),48280)</f>
        <v>48280</v>
      </c>
      <c r="R307" t="str">
        <f ca="1">IFERROR(__xludf.DUMMYFUNCTION("""COMPUTED_VALUE"""),"АВДЕЕВКА")</f>
        <v>АВДЕЕВКА</v>
      </c>
      <c r="S307" t="str">
        <f ca="1">IFERROR(__xludf.DUMMYFUNCTION("""COMPUTED_VALUE"""),"10.08.21 12-10")</f>
        <v>10.08.21 12-10</v>
      </c>
      <c r="T307">
        <f ca="1">IFERROR(__xludf.DUMMYFUNCTION("""COMPUTED_VALUE"""),7253)</f>
        <v>7253</v>
      </c>
      <c r="U307" t="str">
        <f ca="1">IFERROR(__xludf.DUMMYFUNCTION("""COMPUTED_VALUE"""),"30.09.2021 ДР")</f>
        <v>30.09.2021 ДР</v>
      </c>
      <c r="Z307" t="str">
        <f ca="1">IFERROR(__xludf.DUMMYFUNCTION("""COMPUTED_VALUE"""),"ООО ""КОМПАНИЯ ""ЮТАЛ-ТРАНС""")</f>
        <v>ООО "КОМПАНИЯ "ЮТАЛ-ТРАНС"</v>
      </c>
      <c r="AA307" t="str">
        <f ca="1">IFERROR(__xludf.DUMMYFUNCTION("""COMPUTED_VALUE"""),"12-757")</f>
        <v>12-757</v>
      </c>
      <c r="AB307" t="str">
        <f ca="1">IFERROR(__xludf.DUMMYFUNCTION("""COMPUTED_VALUE"""),"40 ОД")</f>
        <v>40 ОД</v>
      </c>
      <c r="AC307" t="str">
        <f ca="1">IFERROR(__xludf.DUMMYFUNCTION("""COMPUTED_VALUE"""),"41000 ЗНАМЕНКА")</f>
        <v>41000 ЗНАМЕНКА</v>
      </c>
      <c r="AD307" t="str">
        <f ca="1">IFERROR(__xludf.DUMMYFUNCTION("""COMPUTED_VALUE"""),"08.05.21 18-40")</f>
        <v>08.05.21 18-40</v>
      </c>
      <c r="AE307" t="str">
        <f ca="1">IFERROR(__xludf.DUMMYFUNCTION("""COMPUTED_VALUE"""),"540 НEИCПPAВНOCТЬ ЗAПOPA ЛЮКA")</f>
        <v>540 НEИCПPAВНOCТЬ ЗAПOPA ЛЮКA</v>
      </c>
      <c r="AF307" t="str">
        <f ca="1">IFERROR(__xludf.DUMMYFUNCTION("""COMPUTED_VALUE"""),"40 ОД")</f>
        <v>40 ОД</v>
      </c>
      <c r="AG307" t="str">
        <f ca="1">IFERROR(__xludf.DUMMYFUNCTION("""COMPUTED_VALUE"""),"41000 ЗНАМЕНКА")</f>
        <v>41000 ЗНАМЕНКА</v>
      </c>
      <c r="AH307" t="str">
        <f ca="1">IFERROR(__xludf.DUMMYFUNCTION("""COMPUTED_VALUE"""),"03.06.21 16-10")</f>
        <v>03.06.21 16-10</v>
      </c>
      <c r="AI307" s="21">
        <f ca="1">IFERROR(__xludf.DUMMYFUNCTION("""COMPUTED_VALUE"""),44420.357662037)</f>
        <v>44420.357662037</v>
      </c>
    </row>
    <row r="308" spans="1:35" ht="13" x14ac:dyDescent="0.15">
      <c r="A308">
        <f ca="1">IFERROR(__xludf.DUMMYFUNCTION("""COMPUTED_VALUE"""),1215)</f>
        <v>1215</v>
      </c>
      <c r="B308" t="str">
        <f ca="1">IFERROR(__xludf.DUMMYFUNCTION("""COMPUTED_VALUE"""),"Техрейс")</f>
        <v>Техрейс</v>
      </c>
      <c r="C308" t="str">
        <f ca="1">IFERROR(__xludf.DUMMYFUNCTION("""COMPUTED_VALUE"""),"ЮТАЛ-ТРАНС")</f>
        <v>ЮТАЛ-ТРАНС</v>
      </c>
      <c r="D308">
        <f ca="1">IFERROR(__xludf.DUMMYFUNCTION("""COMPUTED_VALUE"""),53101960)</f>
        <v>53101960</v>
      </c>
      <c r="E308" t="str">
        <f ca="1">IFERROR(__xludf.DUMMYFUNCTION("""COMPUTED_VALUE"""),"60 ПОЛУВАГОНЫ")</f>
        <v>60 ПОЛУВАГОНЫ</v>
      </c>
      <c r="F308">
        <f ca="1">IFERROR(__xludf.DUMMYFUNCTION("""COMPUTED_VALUE"""),42103)</f>
        <v>42103</v>
      </c>
      <c r="G308" t="str">
        <f ca="1">IFERROR(__xludf.DUMMYFUNCTION("""COMPUTED_VALUE"""),"ВАГОНЫ ЖД СВ")</f>
        <v>ВАГОНЫ ЖД СВ</v>
      </c>
      <c r="H308">
        <f ca="1">IFERROR(__xludf.DUMMYFUNCTION("""COMPUTED_VALUE"""),0)</f>
        <v>0</v>
      </c>
      <c r="I308">
        <f ca="1">IFERROR(__xludf.DUMMYFUNCTION("""COMPUTED_VALUE"""),1727)</f>
        <v>1727</v>
      </c>
      <c r="J308" t="str">
        <f ca="1">IFERROR(__xludf.DUMMYFUNCTION("""COMPUTED_VALUE"""),"1111 (35940-083-35000) ОБАРОВ - ЗДОЛБУНОВ")</f>
        <v>1111 (35940-083-35000) ОБАРОВ - ЗДОЛБУНОВ</v>
      </c>
      <c r="K308">
        <f ca="1">IFERROR(__xludf.DUMMYFUNCTION("""COMPUTED_VALUE"""),35940)</f>
        <v>35940</v>
      </c>
      <c r="L308" t="str">
        <f ca="1">IFERROR(__xludf.DUMMYFUNCTION("""COMPUTED_VALUE"""),"ОБАРОВ")</f>
        <v>ОБАРОВ</v>
      </c>
      <c r="M308" t="str">
        <f ca="1">IFERROR(__xludf.DUMMYFUNCTION("""COMPUTED_VALUE"""),"07.08.21 04-00")</f>
        <v>07.08.21 04-00</v>
      </c>
      <c r="N308" t="str">
        <f ca="1">IFERROR(__xludf.DUMMYFUNCTION("""COMPUTED_VALUE"""),"04 РАСФ")</f>
        <v>04 РАСФ</v>
      </c>
      <c r="O308">
        <f ca="1">IFERROR(__xludf.DUMMYFUNCTION("""COMPUTED_VALUE"""),35050)</f>
        <v>35050</v>
      </c>
      <c r="P308" t="str">
        <f ca="1">IFERROR(__xludf.DUMMYFUNCTION("""COMPUTED_VALUE"""),"КРЕМЕНЕЦ")</f>
        <v>КРЕМЕНЕЦ</v>
      </c>
      <c r="Q308">
        <f ca="1">IFERROR(__xludf.DUMMYFUNCTION("""COMPUTED_VALUE"""),35310)</f>
        <v>35310</v>
      </c>
      <c r="R308" t="str">
        <f ca="1">IFERROR(__xludf.DUMMYFUNCTION("""COMPUTED_VALUE"""),"ИВАНИЧИ")</f>
        <v>ИВАНИЧИ</v>
      </c>
      <c r="S308" t="str">
        <f ca="1">IFERROR(__xludf.DUMMYFUNCTION("""COMPUTED_VALUE"""),"31.07.21 06-05")</f>
        <v>31.07.21 06-05</v>
      </c>
      <c r="T308">
        <f ca="1">IFERROR(__xludf.DUMMYFUNCTION("""COMPUTED_VALUE"""),8200)</f>
        <v>8200</v>
      </c>
      <c r="U308" t="str">
        <f ca="1">IFERROR(__xludf.DUMMYFUNCTION("""COMPUTED_VALUE"""),"30.08.2021 ДР")</f>
        <v>30.08.2021 ДР</v>
      </c>
      <c r="Z308" t="str">
        <f ca="1">IFERROR(__xludf.DUMMYFUNCTION("""COMPUTED_VALUE"""),"ООО ""КОМПАНИЯ ""ЮТАЛ-ТРАНС""")</f>
        <v>ООО "КОМПАНИЯ "ЮТАЛ-ТРАНС"</v>
      </c>
      <c r="AA308" t="str">
        <f ca="1">IFERROR(__xludf.DUMMYFUNCTION("""COMPUTED_VALUE"""),"12-757")</f>
        <v>12-757</v>
      </c>
      <c r="AB308" t="str">
        <f ca="1">IFERROR(__xludf.DUMMYFUNCTION("""COMPUTED_VALUE"""),"45 ПРИДН")</f>
        <v>45 ПРИДН</v>
      </c>
      <c r="AC308" t="str">
        <f ca="1">IFERROR(__xludf.DUMMYFUNCTION("""COMPUTED_VALUE"""),"45000 НИЖНЕДН-УЗЕЛ")</f>
        <v>45000 НИЖНЕДН-УЗЕЛ</v>
      </c>
      <c r="AD308" t="str">
        <f ca="1">IFERROR(__xludf.DUMMYFUNCTION("""COMPUTED_VALUE"""),"16.02.21 14-05")</f>
        <v>16.02.21 14-05</v>
      </c>
      <c r="AE308" t="str">
        <f ca="1">IFERROR(__xludf.DUMMYFUNCTION("""COMPUTED_VALUE"""),"214 ИЗЛOМ ПPУЖИН")</f>
        <v>214 ИЗЛOМ ПPУЖИН</v>
      </c>
      <c r="AF308" t="str">
        <f ca="1">IFERROR(__xludf.DUMMYFUNCTION("""COMPUTED_VALUE"""),"45 ПРИДН")</f>
        <v>45 ПРИДН</v>
      </c>
      <c r="AG308" t="str">
        <f ca="1">IFERROR(__xludf.DUMMYFUNCTION("""COMPUTED_VALUE"""),"45000 НИЖНЕДН-УЗЕЛ")</f>
        <v>45000 НИЖНЕДН-УЗЕЛ</v>
      </c>
      <c r="AH308" t="str">
        <f ca="1">IFERROR(__xludf.DUMMYFUNCTION("""COMPUTED_VALUE"""),"20.02.21 16-00")</f>
        <v>20.02.21 16-00</v>
      </c>
      <c r="AI308" s="21">
        <f ca="1">IFERROR(__xludf.DUMMYFUNCTION("""COMPUTED_VALUE"""),44420.357662037)</f>
        <v>44420.357662037</v>
      </c>
    </row>
    <row r="309" spans="1:35" ht="13" x14ac:dyDescent="0.15">
      <c r="A309">
        <f ca="1">IFERROR(__xludf.DUMMYFUNCTION("""COMPUTED_VALUE"""),1216)</f>
        <v>1216</v>
      </c>
      <c r="B309" t="str">
        <f ca="1">IFERROR(__xludf.DUMMYFUNCTION("""COMPUTED_VALUE"""),"Техрейс")</f>
        <v>Техрейс</v>
      </c>
      <c r="C309" t="str">
        <f ca="1">IFERROR(__xludf.DUMMYFUNCTION("""COMPUTED_VALUE"""),"ЮТАЛ-ТРАНС")</f>
        <v>ЮТАЛ-ТРАНС</v>
      </c>
      <c r="D309">
        <f ca="1">IFERROR(__xludf.DUMMYFUNCTION("""COMPUTED_VALUE"""),55077820)</f>
        <v>55077820</v>
      </c>
      <c r="E309" t="str">
        <f ca="1">IFERROR(__xludf.DUMMYFUNCTION("""COMPUTED_VALUE"""),"60 ПОЛУВАГОНЫ")</f>
        <v>60 ПОЛУВАГОНЫ</v>
      </c>
      <c r="F309">
        <f ca="1">IFERROR(__xludf.DUMMYFUNCTION("""COMPUTED_VALUE"""),23225)</f>
        <v>23225</v>
      </c>
      <c r="G309" t="str">
        <f ca="1">IFERROR(__xludf.DUMMYFUNCTION("""COMPUTED_VALUE"""),"ОТСЕВ ГРАН КАМ")</f>
        <v>ОТСЕВ ГРАН КАМ</v>
      </c>
      <c r="H309">
        <f ca="1">IFERROR(__xludf.DUMMYFUNCTION("""COMPUTED_VALUE"""),70)</f>
        <v>70</v>
      </c>
      <c r="I309">
        <f ca="1">IFERROR(__xludf.DUMMYFUNCTION("""COMPUTED_VALUE"""),1036)</f>
        <v>1036</v>
      </c>
      <c r="J309" t="str">
        <f ca="1">IFERROR(__xludf.DUMMYFUNCTION("""COMPUTED_VALUE"""),"3001 (45640-073-45000) ВЕРХОВЦЕВО - НИЖНЕДН-УЗЕЛ")</f>
        <v>3001 (45640-073-45000) ВЕРХОВЦЕВО - НИЖНЕДН-УЗЕЛ</v>
      </c>
      <c r="K309">
        <f ca="1">IFERROR(__xludf.DUMMYFUNCTION("""COMPUTED_VALUE"""),45600)</f>
        <v>45600</v>
      </c>
      <c r="L309" t="str">
        <f ca="1">IFERROR(__xludf.DUMMYFUNCTION("""COMPUTED_VALUE"""),"ЗАПОРОЖЬЕ-КА")</f>
        <v>ЗАПОРОЖЬЕ-КА</v>
      </c>
      <c r="M309" t="str">
        <f ca="1">IFERROR(__xludf.DUMMYFUNCTION("""COMPUTED_VALUE"""),"10.08.21 18-55")</f>
        <v>10.08.21 18-55</v>
      </c>
      <c r="N309" t="str">
        <f ca="1">IFERROR(__xludf.DUMMYFUNCTION("""COMPUTED_VALUE"""),"98 ОТОТ")</f>
        <v>98 ОТОТ</v>
      </c>
      <c r="O309">
        <f ca="1">IFERROR(__xludf.DUMMYFUNCTION("""COMPUTED_VALUE"""),45600)</f>
        <v>45600</v>
      </c>
      <c r="P309" t="str">
        <f ca="1">IFERROR(__xludf.DUMMYFUNCTION("""COMPUTED_VALUE"""),"ЗАПОРОЖЬЕ-КА")</f>
        <v>ЗАПОРОЖЬЕ-КА</v>
      </c>
      <c r="Q309">
        <f ca="1">IFERROR(__xludf.DUMMYFUNCTION("""COMPUTED_VALUE"""),41660)</f>
        <v>41660</v>
      </c>
      <c r="R309" t="str">
        <f ca="1">IFERROR(__xludf.DUMMYFUNCTION("""COMPUTED_VALUE"""),"БЛАКИТНОЕ")</f>
        <v>БЛАКИТНОЕ</v>
      </c>
      <c r="S309" t="str">
        <f ca="1">IFERROR(__xludf.DUMMYFUNCTION("""COMPUTED_VALUE"""),"04.08.21 15-50")</f>
        <v>04.08.21 15-50</v>
      </c>
      <c r="T309">
        <f ca="1">IFERROR(__xludf.DUMMYFUNCTION("""COMPUTED_VALUE"""),1879)</f>
        <v>1879</v>
      </c>
      <c r="U309" t="str">
        <f ca="1">IFERROR(__xludf.DUMMYFUNCTION("""COMPUTED_VALUE"""),"09.05.2023 КР")</f>
        <v>09.05.2023 КР</v>
      </c>
      <c r="Z309" t="str">
        <f ca="1">IFERROR(__xludf.DUMMYFUNCTION("""COMPUTED_VALUE"""),"ООО ""КОМПАНИЯ ""ЮТАЛ-ТРАНС""")</f>
        <v>ООО "КОМПАНИЯ "ЮТАЛ-ТРАНС"</v>
      </c>
      <c r="AA309" t="str">
        <f ca="1">IFERROR(__xludf.DUMMYFUNCTION("""COMPUTED_VALUE"""),"12-783")</f>
        <v>12-783</v>
      </c>
      <c r="AB309" t="str">
        <f ca="1">IFERROR(__xludf.DUMMYFUNCTION("""COMPUTED_VALUE"""),"40 ОД")</f>
        <v>40 ОД</v>
      </c>
      <c r="AC309" t="str">
        <f ca="1">IFERROR(__xludf.DUMMYFUNCTION("""COMPUTED_VALUE"""),"41000 ЗНАМЕНКА")</f>
        <v>41000 ЗНАМЕНКА</v>
      </c>
      <c r="AD309" t="str">
        <f ca="1">IFERROR(__xludf.DUMMYFUNCTION("""COMPUTED_VALUE"""),"24.03.20 06-00")</f>
        <v>24.03.20 06-00</v>
      </c>
      <c r="AE309" t="str">
        <f ca="1">IFERROR(__xludf.DUMMYFUNCTION("""COMPUTED_VALUE"""),"570 ИCТEК КAЛЕНДАРНЫЙ CPOК ДEПOВCКОГО PEМOНТA")</f>
        <v>570 ИCТEК КAЛЕНДАРНЫЙ CPOК ДEПOВCКОГО PEМOНТA</v>
      </c>
      <c r="AF309" t="str">
        <f ca="1">IFERROR(__xludf.DUMMYFUNCTION("""COMPUTED_VALUE"""),"40 ОД")</f>
        <v>40 ОД</v>
      </c>
      <c r="AG309" t="str">
        <f ca="1">IFERROR(__xludf.DUMMYFUNCTION("""COMPUTED_VALUE"""),"41000 ЗНАМЕНКА")</f>
        <v>41000 ЗНАМЕНКА</v>
      </c>
      <c r="AH309" t="str">
        <f ca="1">IFERROR(__xludf.DUMMYFUNCTION("""COMPUTED_VALUE"""),"09.05.20 13-30")</f>
        <v>09.05.20 13-30</v>
      </c>
      <c r="AI309" s="21">
        <f ca="1">IFERROR(__xludf.DUMMYFUNCTION("""COMPUTED_VALUE"""),44420.357662037)</f>
        <v>44420.357662037</v>
      </c>
    </row>
    <row r="310" spans="1:35" ht="13" x14ac:dyDescent="0.15">
      <c r="A310">
        <f ca="1">IFERROR(__xludf.DUMMYFUNCTION("""COMPUTED_VALUE"""),1217)</f>
        <v>1217</v>
      </c>
      <c r="B310" t="str">
        <f ca="1">IFERROR(__xludf.DUMMYFUNCTION("""COMPUTED_VALUE"""),"Техрейс")</f>
        <v>Техрейс</v>
      </c>
      <c r="C310" t="str">
        <f ca="1">IFERROR(__xludf.DUMMYFUNCTION("""COMPUTED_VALUE"""),"ЮТАЛ-ТРАНС")</f>
        <v>ЮТАЛ-ТРАНС</v>
      </c>
      <c r="D310">
        <f ca="1">IFERROR(__xludf.DUMMYFUNCTION("""COMPUTED_VALUE"""),55077838)</f>
        <v>55077838</v>
      </c>
      <c r="E310" t="str">
        <f ca="1">IFERROR(__xludf.DUMMYFUNCTION("""COMPUTED_VALUE"""),"60 ПОЛУВАГОНЫ")</f>
        <v>60 ПОЛУВАГОНЫ</v>
      </c>
      <c r="F310">
        <f ca="1">IFERROR(__xludf.DUMMYFUNCTION("""COMPUTED_VALUE"""),42103)</f>
        <v>42103</v>
      </c>
      <c r="G310" t="str">
        <f ca="1">IFERROR(__xludf.DUMMYFUNCTION("""COMPUTED_VALUE"""),"ВАГОНЫ ЖД СВ")</f>
        <v>ВАГОНЫ ЖД СВ</v>
      </c>
      <c r="H310">
        <f ca="1">IFERROR(__xludf.DUMMYFUNCTION("""COMPUTED_VALUE"""),0)</f>
        <v>0</v>
      </c>
      <c r="I310">
        <f ca="1">IFERROR(__xludf.DUMMYFUNCTION("""COMPUTED_VALUE"""),5343)</f>
        <v>5343</v>
      </c>
      <c r="J310" t="str">
        <f ca="1">IFERROR(__xludf.DUMMYFUNCTION("""COMPUTED_VALUE"""),"2162 (40050-057-46720) БЕРЕГОВАЯ - КРИВОЙ РОГ")</f>
        <v>2162 (40050-057-46720) БЕРЕГОВАЯ - КРИВОЙ РОГ</v>
      </c>
      <c r="K310">
        <f ca="1">IFERROR(__xludf.DUMMYFUNCTION("""COMPUTED_VALUE"""),46720)</f>
        <v>46720</v>
      </c>
      <c r="L310" t="str">
        <f ca="1">IFERROR(__xludf.DUMMYFUNCTION("""COMPUTED_VALUE"""),"КРИВОЙ РОГ")</f>
        <v>КРИВОЙ РОГ</v>
      </c>
      <c r="M310" t="str">
        <f ca="1">IFERROR(__xludf.DUMMYFUNCTION("""COMPUTED_VALUE"""),"11.08.21 21-26")</f>
        <v>11.08.21 21-26</v>
      </c>
      <c r="N310" t="str">
        <f ca="1">IFERROR(__xludf.DUMMYFUNCTION("""COMPUTED_VALUE"""),"04 РАСФ")</f>
        <v>04 РАСФ</v>
      </c>
      <c r="O310">
        <f ca="1">IFERROR(__xludf.DUMMYFUNCTION("""COMPUTED_VALUE"""),46720)</f>
        <v>46720</v>
      </c>
      <c r="P310" t="str">
        <f ca="1">IFERROR(__xludf.DUMMYFUNCTION("""COMPUTED_VALUE"""),"КРИВОЙ РОГ")</f>
        <v>КРИВОЙ РОГ</v>
      </c>
      <c r="Q310">
        <f ca="1">IFERROR(__xludf.DUMMYFUNCTION("""COMPUTED_VALUE"""),40050)</f>
        <v>40050</v>
      </c>
      <c r="R310" t="str">
        <f ca="1">IFERROR(__xludf.DUMMYFUNCTION("""COMPUTED_VALUE"""),"БЕРЕГОВАЯ")</f>
        <v>БЕРЕГОВАЯ</v>
      </c>
      <c r="S310" t="str">
        <f ca="1">IFERROR(__xludf.DUMMYFUNCTION("""COMPUTED_VALUE"""),"10.08.21 03-30")</f>
        <v>10.08.21 03-30</v>
      </c>
      <c r="T310">
        <f ca="1">IFERROR(__xludf.DUMMYFUNCTION("""COMPUTED_VALUE"""),8200)</f>
        <v>8200</v>
      </c>
      <c r="U310" t="str">
        <f ca="1">IFERROR(__xludf.DUMMYFUNCTION("""COMPUTED_VALUE"""),"07.08.2022 КР")</f>
        <v>07.08.2022 КР</v>
      </c>
      <c r="Z310" t="str">
        <f ca="1">IFERROR(__xludf.DUMMYFUNCTION("""COMPUTED_VALUE"""),"ООО ""КОМПАНИЯ ""ЮТАЛ-ТРАНС""")</f>
        <v>ООО "КОМПАНИЯ "ЮТАЛ-ТРАНС"</v>
      </c>
      <c r="AA310" t="str">
        <f ca="1">IFERROR(__xludf.DUMMYFUNCTION("""COMPUTED_VALUE"""),"12-783")</f>
        <v>12-783</v>
      </c>
      <c r="AB310" t="str">
        <f ca="1">IFERROR(__xludf.DUMMYFUNCTION("""COMPUTED_VALUE"""),"45 ПРИДН")</f>
        <v>45 ПРИДН</v>
      </c>
      <c r="AC310" t="str">
        <f ca="1">IFERROR(__xludf.DUMMYFUNCTION("""COMPUTED_VALUE"""),"46720 КРИВОЙ РОГ")</f>
        <v>46720 КРИВОЙ РОГ</v>
      </c>
      <c r="AD310" t="str">
        <f ca="1">IFERROR(__xludf.DUMMYFUNCTION("""COMPUTED_VALUE"""),"11.08.21 21-25")</f>
        <v>11.08.21 21-25</v>
      </c>
      <c r="AE310" t="str">
        <f ca="1">IFERROR(__xludf.DUMMYFUNCTION("""COMPUTED_VALUE"""),"571 ИCТEК КAЛЕНДАРНЫЙ CPOК КAПИТAЛЬНОГО PEМOНТA")</f>
        <v>571 ИCТEК КAЛЕНДАРНЫЙ CPOК КAПИТAЛЬНОГО PEМOНТA</v>
      </c>
      <c r="AF310" t="str">
        <f ca="1">IFERROR(__xludf.DUMMYFUNCTION("""COMPUTED_VALUE"""),"40 ОД")</f>
        <v>40 ОД</v>
      </c>
      <c r="AG310" t="str">
        <f ca="1">IFERROR(__xludf.DUMMYFUNCTION("""COMPUTED_VALUE"""),"41000 ЗНАМЕНКА")</f>
        <v>41000 ЗНАМЕНКА</v>
      </c>
      <c r="AH310" t="str">
        <f ca="1">IFERROR(__xludf.DUMMYFUNCTION("""COMPUTED_VALUE"""),"13.04.21 15-00")</f>
        <v>13.04.21 15-00</v>
      </c>
      <c r="AI310" s="21">
        <f ca="1">IFERROR(__xludf.DUMMYFUNCTION("""COMPUTED_VALUE"""),44420.357662037)</f>
        <v>44420.357662037</v>
      </c>
    </row>
    <row r="311" spans="1:35" ht="13" x14ac:dyDescent="0.15">
      <c r="A311">
        <f ca="1">IFERROR(__xludf.DUMMYFUNCTION("""COMPUTED_VALUE"""),1218)</f>
        <v>1218</v>
      </c>
      <c r="B311" t="str">
        <f ca="1">IFERROR(__xludf.DUMMYFUNCTION("""COMPUTED_VALUE"""),"Техрейс")</f>
        <v>Техрейс</v>
      </c>
      <c r="C311" t="str">
        <f ca="1">IFERROR(__xludf.DUMMYFUNCTION("""COMPUTED_VALUE"""),"ЮТАЛ-ТРАНС")</f>
        <v>ЮТАЛ-ТРАНС</v>
      </c>
      <c r="D311">
        <f ca="1">IFERROR(__xludf.DUMMYFUNCTION("""COMPUTED_VALUE"""),55080329)</f>
        <v>55080329</v>
      </c>
      <c r="E311" t="str">
        <f ca="1">IFERROR(__xludf.DUMMYFUNCTION("""COMPUTED_VALUE"""),"60 ПОЛУВАГОНЫ")</f>
        <v>60 ПОЛУВАГОНЫ</v>
      </c>
      <c r="F311">
        <f ca="1">IFERROR(__xludf.DUMMYFUNCTION("""COMPUTED_VALUE"""),42103)</f>
        <v>42103</v>
      </c>
      <c r="G311" t="str">
        <f ca="1">IFERROR(__xludf.DUMMYFUNCTION("""COMPUTED_VALUE"""),"ВАГОНЫ ЖД СВ")</f>
        <v>ВАГОНЫ ЖД СВ</v>
      </c>
      <c r="H311">
        <f ca="1">IFERROR(__xludf.DUMMYFUNCTION("""COMPUTED_VALUE"""),70)</f>
        <v>70</v>
      </c>
      <c r="I311">
        <f ca="1">IFERROR(__xludf.DUMMYFUNCTION("""COMPUTED_VALUE"""),5380)</f>
        <v>5380</v>
      </c>
      <c r="J311" t="str">
        <f ca="1">IFERROR(__xludf.DUMMYFUNCTION("""COMPUTED_VALUE"""),"3052 (35400-017-34000) КОВЕЛЬ - ШЕПЕТОВКА")</f>
        <v>3052 (35400-017-34000) КОВЕЛЬ - ШЕПЕТОВКА</v>
      </c>
      <c r="K311">
        <f ca="1">IFERROR(__xludf.DUMMYFUNCTION("""COMPUTED_VALUE"""),34140)</f>
        <v>34140</v>
      </c>
      <c r="L311" t="str">
        <f ca="1">IFERROR(__xludf.DUMMYFUNCTION("""COMPUTED_VALUE"""),"СЛАВУТА I")</f>
        <v>СЛАВУТА I</v>
      </c>
      <c r="M311" t="str">
        <f ca="1">IFERROR(__xludf.DUMMYFUNCTION("""COMPUTED_VALUE"""),"10.08.21 20-48")</f>
        <v>10.08.21 20-48</v>
      </c>
      <c r="N311" t="str">
        <f ca="1">IFERROR(__xludf.DUMMYFUNCTION("""COMPUTED_VALUE"""),"01 ПРИБ")</f>
        <v>01 ПРИБ</v>
      </c>
      <c r="O311">
        <f ca="1">IFERROR(__xludf.DUMMYFUNCTION("""COMPUTED_VALUE"""),34650)</f>
        <v>34650</v>
      </c>
      <c r="P311" t="str">
        <f ca="1">IFERROR(__xludf.DUMMYFUNCTION("""COMPUTED_VALUE"""),"БЕХИ")</f>
        <v>БЕХИ</v>
      </c>
      <c r="Q311">
        <f ca="1">IFERROR(__xludf.DUMMYFUNCTION("""COMPUTED_VALUE"""),49480)</f>
        <v>49480</v>
      </c>
      <c r="R311" t="str">
        <f ca="1">IFERROR(__xludf.DUMMYFUNCTION("""COMPUTED_VALUE"""),"СОЛЬ")</f>
        <v>СОЛЬ</v>
      </c>
      <c r="S311" t="str">
        <f ca="1">IFERROR(__xludf.DUMMYFUNCTION("""COMPUTED_VALUE"""),"26.07.21 14-50")</f>
        <v>26.07.21 14-50</v>
      </c>
      <c r="T311">
        <f ca="1">IFERROR(__xludf.DUMMYFUNCTION("""COMPUTED_VALUE"""),0)</f>
        <v>0</v>
      </c>
      <c r="U311" t="str">
        <f ca="1">IFERROR(__xludf.DUMMYFUNCTION("""COMPUTED_VALUE"""),"13.09.2022 КР")</f>
        <v>13.09.2022 КР</v>
      </c>
      <c r="Z311" t="str">
        <f ca="1">IFERROR(__xludf.DUMMYFUNCTION("""COMPUTED_VALUE"""),"ООО ""КОМПАНИЯ ""ЮТАЛ-ТРАНС""")</f>
        <v>ООО "КОМПАНИЯ "ЮТАЛ-ТРАНС"</v>
      </c>
      <c r="AA311" t="str">
        <f ca="1">IFERROR(__xludf.DUMMYFUNCTION("""COMPUTED_VALUE"""),"12-783")</f>
        <v>12-783</v>
      </c>
      <c r="AB311" t="str">
        <f ca="1">IFERROR(__xludf.DUMMYFUNCTION("""COMPUTED_VALUE"""),"40 ОД")</f>
        <v>40 ОД</v>
      </c>
      <c r="AC311" t="str">
        <f ca="1">IFERROR(__xludf.DUMMYFUNCTION("""COMPUTED_VALUE"""),"40110 ЧЕРНОМОРСКАЯ")</f>
        <v>40110 ЧЕРНОМОРСКАЯ</v>
      </c>
      <c r="AD311" t="str">
        <f ca="1">IFERROR(__xludf.DUMMYFUNCTION("""COMPUTED_VALUE"""),"20.03.21 14-12")</f>
        <v>20.03.21 14-12</v>
      </c>
      <c r="AE311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11" t="str">
        <f ca="1">IFERROR(__xludf.DUMMYFUNCTION("""COMPUTED_VALUE"""),"40 ОД")</f>
        <v>40 ОД</v>
      </c>
      <c r="AG311" t="str">
        <f ca="1">IFERROR(__xludf.DUMMYFUNCTION("""COMPUTED_VALUE"""),"40110 ЧЕРНОМОРСКАЯ")</f>
        <v>40110 ЧЕРНОМОРСКАЯ</v>
      </c>
      <c r="AH311" t="str">
        <f ca="1">IFERROR(__xludf.DUMMYFUNCTION("""COMPUTED_VALUE"""),"22.03.21 14-27")</f>
        <v>22.03.21 14-27</v>
      </c>
      <c r="AI311" s="21">
        <f ca="1">IFERROR(__xludf.DUMMYFUNCTION("""COMPUTED_VALUE"""),44420.357662037)</f>
        <v>44420.357662037</v>
      </c>
    </row>
    <row r="312" spans="1:35" ht="13" x14ac:dyDescent="0.15">
      <c r="A312">
        <f ca="1">IFERROR(__xludf.DUMMYFUNCTION("""COMPUTED_VALUE"""),1219)</f>
        <v>1219</v>
      </c>
      <c r="B312" t="str">
        <f ca="1">IFERROR(__xludf.DUMMYFUNCTION("""COMPUTED_VALUE"""),"Техрейс")</f>
        <v>Техрейс</v>
      </c>
      <c r="C312" t="str">
        <f ca="1">IFERROR(__xludf.DUMMYFUNCTION("""COMPUTED_VALUE"""),"ЮТАЛ-ТРАНС")</f>
        <v>ЮТАЛ-ТРАНС</v>
      </c>
      <c r="D312">
        <f ca="1">IFERROR(__xludf.DUMMYFUNCTION("""COMPUTED_VALUE"""),55080360)</f>
        <v>55080360</v>
      </c>
      <c r="E312" t="str">
        <f ca="1">IFERROR(__xludf.DUMMYFUNCTION("""COMPUTED_VALUE"""),"60 ПОЛУВАГОНЫ")</f>
        <v>60 ПОЛУВАГОНЫ</v>
      </c>
      <c r="F312">
        <f ca="1">IFERROR(__xludf.DUMMYFUNCTION("""COMPUTED_VALUE"""),42103)</f>
        <v>42103</v>
      </c>
      <c r="G312" t="str">
        <f ca="1">IFERROR(__xludf.DUMMYFUNCTION("""COMPUTED_VALUE"""),"ВАГОНЫ ЖД СВ")</f>
        <v>ВАГОНЫ ЖД СВ</v>
      </c>
      <c r="H312">
        <f ca="1">IFERROR(__xludf.DUMMYFUNCTION("""COMPUTED_VALUE"""),0)</f>
        <v>0</v>
      </c>
      <c r="I312">
        <f ca="1">IFERROR(__xludf.DUMMYFUNCTION("""COMPUTED_VALUE"""),4307)</f>
        <v>4307</v>
      </c>
      <c r="J312" t="str">
        <f ca="1">IFERROR(__xludf.DUMMYFUNCTION("""COMPUTED_VALUE"""),"3001 (40110-067-40000) ЧЕРНОМОРСКАЯ - ОДЕССА-СОРТ")</f>
        <v>3001 (40110-067-40000) ЧЕРНОМОРСКАЯ - ОДЕССА-СОРТ</v>
      </c>
      <c r="K312">
        <f ca="1">IFERROR(__xludf.DUMMYFUNCTION("""COMPUTED_VALUE"""),40100)</f>
        <v>40100</v>
      </c>
      <c r="L312" t="str">
        <f ca="1">IFERROR(__xludf.DUMMYFUNCTION("""COMPUTED_VALUE"""),"КРЕМИДОВКА")</f>
        <v>КРЕМИДОВКА</v>
      </c>
      <c r="M312" t="str">
        <f ca="1">IFERROR(__xludf.DUMMYFUNCTION("""COMPUTED_VALUE"""),"11.08.21 04-21")</f>
        <v>11.08.21 04-21</v>
      </c>
      <c r="N312" t="str">
        <f ca="1">IFERROR(__xludf.DUMMYFUNCTION("""COMPUTED_VALUE"""),"01 ПРИБ")</f>
        <v>01 ПРИБ</v>
      </c>
      <c r="O312">
        <f ca="1">IFERROR(__xludf.DUMMYFUNCTION("""COMPUTED_VALUE"""),40200)</f>
        <v>40200</v>
      </c>
      <c r="P312" t="str">
        <f ca="1">IFERROR(__xludf.DUMMYFUNCTION("""COMPUTED_VALUE"""),"ЧЕРНОМОРСК-П")</f>
        <v>ЧЕРНОМОРСК-П</v>
      </c>
      <c r="Q312">
        <f ca="1">IFERROR(__xludf.DUMMYFUNCTION("""COMPUTED_VALUE"""),40050)</f>
        <v>40050</v>
      </c>
      <c r="R312" t="str">
        <f ca="1">IFERROR(__xludf.DUMMYFUNCTION("""COMPUTED_VALUE"""),"БЕРЕГОВАЯ")</f>
        <v>БЕРЕГОВАЯ</v>
      </c>
      <c r="S312" t="str">
        <f ca="1">IFERROR(__xludf.DUMMYFUNCTION("""COMPUTED_VALUE"""),"07.08.21 07-10")</f>
        <v>07.08.21 07-10</v>
      </c>
      <c r="T312">
        <f ca="1">IFERROR(__xludf.DUMMYFUNCTION("""COMPUTED_VALUE"""),8200)</f>
        <v>8200</v>
      </c>
      <c r="U312" t="str">
        <f ca="1">IFERROR(__xludf.DUMMYFUNCTION("""COMPUTED_VALUE"""),"03.10.2023 ДР")</f>
        <v>03.10.2023 ДР</v>
      </c>
      <c r="Z312" t="str">
        <f ca="1">IFERROR(__xludf.DUMMYFUNCTION("""COMPUTED_VALUE"""),"ООО ""КОМПАНИЯ ""ЮТАЛ-ТРАНС""")</f>
        <v>ООО "КОМПАНИЯ "ЮТАЛ-ТРАНС"</v>
      </c>
      <c r="AA312" t="str">
        <f ca="1">IFERROR(__xludf.DUMMYFUNCTION("""COMPUTED_VALUE"""),"12-783")</f>
        <v>12-783</v>
      </c>
      <c r="AB312" t="str">
        <f ca="1">IFERROR(__xludf.DUMMYFUNCTION("""COMPUTED_VALUE"""),"45 ПРИДН")</f>
        <v>45 ПРИДН</v>
      </c>
      <c r="AC312" t="str">
        <f ca="1">IFERROR(__xludf.DUMMYFUNCTION("""COMPUTED_VALUE"""),"45170 ПРАВДА")</f>
        <v>45170 ПРАВДА</v>
      </c>
      <c r="AD312" t="str">
        <f ca="1">IFERROR(__xludf.DUMMYFUNCTION("""COMPUTED_VALUE"""),"25.03.21 14-35")</f>
        <v>25.03.21 14-35</v>
      </c>
      <c r="AE312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12" t="str">
        <f ca="1">IFERROR(__xludf.DUMMYFUNCTION("""COMPUTED_VALUE"""),"45 ПРИДН")</f>
        <v>45 ПРИДН</v>
      </c>
      <c r="AG312" t="str">
        <f ca="1">IFERROR(__xludf.DUMMYFUNCTION("""COMPUTED_VALUE"""),"45170 ПРАВДА")</f>
        <v>45170 ПРАВДА</v>
      </c>
      <c r="AH312" t="str">
        <f ca="1">IFERROR(__xludf.DUMMYFUNCTION("""COMPUTED_VALUE"""),"26.03.21 15-30")</f>
        <v>26.03.21 15-30</v>
      </c>
      <c r="AI312" s="21">
        <f ca="1">IFERROR(__xludf.DUMMYFUNCTION("""COMPUTED_VALUE"""),44420.357662037)</f>
        <v>44420.357662037</v>
      </c>
    </row>
    <row r="313" spans="1:35" ht="13" x14ac:dyDescent="0.15">
      <c r="A313">
        <f ca="1">IFERROR(__xludf.DUMMYFUNCTION("""COMPUTED_VALUE"""),1220)</f>
        <v>1220</v>
      </c>
      <c r="B313" t="str">
        <f ca="1">IFERROR(__xludf.DUMMYFUNCTION("""COMPUTED_VALUE"""),"Техрейс")</f>
        <v>Техрейс</v>
      </c>
      <c r="C313" t="str">
        <f ca="1">IFERROR(__xludf.DUMMYFUNCTION("""COMPUTED_VALUE"""),"ЮТАЛ-ТРАНС")</f>
        <v>ЮТАЛ-ТРАНС</v>
      </c>
      <c r="D313">
        <f ca="1">IFERROR(__xludf.DUMMYFUNCTION("""COMPUTED_VALUE"""),56030505)</f>
        <v>56030505</v>
      </c>
      <c r="E313" t="str">
        <f ca="1">IFERROR(__xludf.DUMMYFUNCTION("""COMPUTED_VALUE"""),"60 ПОЛУВАГОНЫ")</f>
        <v>60 ПОЛУВАГОНЫ</v>
      </c>
      <c r="F313">
        <f ca="1">IFERROR(__xludf.DUMMYFUNCTION("""COMPUTED_VALUE"""),24133)</f>
        <v>24133</v>
      </c>
      <c r="G313" t="str">
        <f ca="1">IFERROR(__xludf.DUMMYFUNCTION("""COMPUTED_VALUE"""),"КАМЕНЬ ИЗВЕСТ")</f>
        <v>КАМЕНЬ ИЗВЕСТ</v>
      </c>
      <c r="H313">
        <f ca="1">IFERROR(__xludf.DUMMYFUNCTION("""COMPUTED_VALUE"""),65)</f>
        <v>65</v>
      </c>
      <c r="I313">
        <f ca="1">IFERROR(__xludf.DUMMYFUNCTION("""COMPUTED_VALUE"""),6832)</f>
        <v>6832</v>
      </c>
      <c r="J313" t="str">
        <f ca="1">IFERROR(__xludf.DUMMYFUNCTION("""COMPUTED_VALUE"""),"3601 (45640-013-45650) ВЕРХОВЦЕВО - ВОЛЬНОГОРСК")</f>
        <v>3601 (45640-013-45650) ВЕРХОВЦЕВО - ВОЛЬНОГОРСК</v>
      </c>
      <c r="K313">
        <f ca="1">IFERROR(__xludf.DUMMYFUNCTION("""COMPUTED_VALUE"""),45650)</f>
        <v>45650</v>
      </c>
      <c r="L313" t="str">
        <f ca="1">IFERROR(__xludf.DUMMYFUNCTION("""COMPUTED_VALUE"""),"ВОЛЬНОГОРСК")</f>
        <v>ВОЛЬНОГОРСК</v>
      </c>
      <c r="M313" t="str">
        <f ca="1">IFERROR(__xludf.DUMMYFUNCTION("""COMPUTED_VALUE"""),"10.08.21 16-45")</f>
        <v>10.08.21 16-45</v>
      </c>
      <c r="N313" t="str">
        <f ca="1">IFERROR(__xludf.DUMMYFUNCTION("""COMPUTED_VALUE"""),"21 ВЫГ2")</f>
        <v>21 ВЫГ2</v>
      </c>
      <c r="O313">
        <f ca="1">IFERROR(__xludf.DUMMYFUNCTION("""COMPUTED_VALUE"""),45650)</f>
        <v>45650</v>
      </c>
      <c r="P313" t="str">
        <f ca="1">IFERROR(__xludf.DUMMYFUNCTION("""COMPUTED_VALUE"""),"ВОЛЬНОГОРСК")</f>
        <v>ВОЛЬНОГОРСК</v>
      </c>
      <c r="Q313">
        <f ca="1">IFERROR(__xludf.DUMMYFUNCTION("""COMPUTED_VALUE"""),41790)</f>
        <v>41790</v>
      </c>
      <c r="R313" t="str">
        <f ca="1">IFERROR(__xludf.DUMMYFUNCTION("""COMPUTED_VALUE"""),"ХЕРСОН-ПОРТ")</f>
        <v>ХЕРСОН-ПОРТ</v>
      </c>
      <c r="S313" t="str">
        <f ca="1">IFERROR(__xludf.DUMMYFUNCTION("""COMPUTED_VALUE"""),"02.08.21 11-05")</f>
        <v>02.08.21 11-05</v>
      </c>
      <c r="U313" t="str">
        <f ca="1">IFERROR(__xludf.DUMMYFUNCTION("""COMPUTED_VALUE"""),"30.10.2023 ДР")</f>
        <v>30.10.2023 ДР</v>
      </c>
      <c r="Z313" t="str">
        <f ca="1">IFERROR(__xludf.DUMMYFUNCTION("""COMPUTED_VALUE"""),"ООО ""КОМПАНИЯ ""ЮТАЛ-ТРАНС""")</f>
        <v>ООО "КОМПАНИЯ "ЮТАЛ-ТРАНС"</v>
      </c>
      <c r="AA313" t="str">
        <f ca="1">IFERROR(__xludf.DUMMYFUNCTION("""COMPUTED_VALUE"""),"12-783")</f>
        <v>12-783</v>
      </c>
      <c r="AB313" t="str">
        <f ca="1">IFERROR(__xludf.DUMMYFUNCTION("""COMPUTED_VALUE"""),"40 ОД")</f>
        <v>40 ОД</v>
      </c>
      <c r="AC313" t="str">
        <f ca="1">IFERROR(__xludf.DUMMYFUNCTION("""COMPUTED_VALUE"""),"41000 ЗНАМЕНКА")</f>
        <v>41000 ЗНАМЕНКА</v>
      </c>
      <c r="AD313" t="str">
        <f ca="1">IFERROR(__xludf.DUMMYFUNCTION("""COMPUTED_VALUE"""),"15.10.20 06-00")</f>
        <v>15.10.20 06-00</v>
      </c>
      <c r="AE313" t="str">
        <f ca="1">IFERROR(__xludf.DUMMYFUNCTION("""COMPUTED_VALUE"""),"571 ИCТEК КAЛЕНДАРНЫЙ CPOК КAПИТAЛЬНОГО PEМOНТA")</f>
        <v>571 ИCТEК КAЛЕНДАРНЫЙ CPOК КAПИТAЛЬНОГО PEМOНТA</v>
      </c>
      <c r="AF313" t="str">
        <f ca="1">IFERROR(__xludf.DUMMYFUNCTION("""COMPUTED_VALUE"""),"40 ОД")</f>
        <v>40 ОД</v>
      </c>
      <c r="AG313" t="str">
        <f ca="1">IFERROR(__xludf.DUMMYFUNCTION("""COMPUTED_VALUE"""),"41000 ЗНАМЕНКА")</f>
        <v>41000 ЗНАМЕНКА</v>
      </c>
      <c r="AH313" t="str">
        <f ca="1">IFERROR(__xludf.DUMMYFUNCTION("""COMPUTED_VALUE"""),"30.10.20 10-00")</f>
        <v>30.10.20 10-00</v>
      </c>
      <c r="AI313" s="21">
        <f ca="1">IFERROR(__xludf.DUMMYFUNCTION("""COMPUTED_VALUE"""),44420.357662037)</f>
        <v>44420.357662037</v>
      </c>
    </row>
    <row r="314" spans="1:35" ht="13" x14ac:dyDescent="0.15">
      <c r="A314">
        <f ca="1">IFERROR(__xludf.DUMMYFUNCTION("""COMPUTED_VALUE"""),1221)</f>
        <v>1221</v>
      </c>
      <c r="B314" t="str">
        <f ca="1">IFERROR(__xludf.DUMMYFUNCTION("""COMPUTED_VALUE"""),"Подольский цемент")</f>
        <v>Подольский цемент</v>
      </c>
      <c r="C314" t="str">
        <f ca="1">IFERROR(__xludf.DUMMYFUNCTION("""COMPUTED_VALUE"""),"ЮТАЛ-ТРАНС")</f>
        <v>ЮТАЛ-ТРАНС</v>
      </c>
      <c r="D314">
        <f ca="1">IFERROR(__xludf.DUMMYFUNCTION("""COMPUTED_VALUE"""),56030620)</f>
        <v>56030620</v>
      </c>
      <c r="E314" t="str">
        <f ca="1">IFERROR(__xludf.DUMMYFUNCTION("""COMPUTED_VALUE"""),"60 ПОЛУВАГОНЫ")</f>
        <v>60 ПОЛУВАГОНЫ</v>
      </c>
      <c r="F314">
        <f ca="1">IFERROR(__xludf.DUMMYFUNCTION("""COMPUTED_VALUE"""),24500)</f>
        <v>24500</v>
      </c>
      <c r="G314" t="str">
        <f ca="1">IFERROR(__xludf.DUMMYFUNCTION("""COMPUTED_VALUE"""),"КЛИНКЕР ЦЕМЕНТ")</f>
        <v>КЛИНКЕР ЦЕМЕНТ</v>
      </c>
      <c r="H314">
        <f ca="1">IFERROR(__xludf.DUMMYFUNCTION("""COMPUTED_VALUE"""),69)</f>
        <v>69</v>
      </c>
      <c r="I314">
        <f ca="1">IFERROR(__xludf.DUMMYFUNCTION("""COMPUTED_VALUE"""),1489)</f>
        <v>1489</v>
      </c>
      <c r="J314" t="str">
        <f ca="1">IFERROR(__xludf.DUMMYFUNCTION("""COMPUTED_VALUE"""),"3106 (33300-024-37780) ГУМЕНЦЫ - НИКОЛАЕВ-ДН")</f>
        <v>3106 (33300-024-37780) ГУМЕНЦЫ - НИКОЛАЕВ-ДН</v>
      </c>
      <c r="K314">
        <f ca="1">IFERROR(__xludf.DUMMYFUNCTION("""COMPUTED_VALUE"""),33300)</f>
        <v>33300</v>
      </c>
      <c r="L314" t="str">
        <f ca="1">IFERROR(__xludf.DUMMYFUNCTION("""COMPUTED_VALUE"""),"ГУМЕНЦЫ")</f>
        <v>ГУМЕНЦЫ</v>
      </c>
      <c r="M314" t="str">
        <f ca="1">IFERROR(__xludf.DUMMYFUNCTION("""COMPUTED_VALUE"""),"12.08.21 01-30")</f>
        <v>12.08.21 01-30</v>
      </c>
      <c r="N314" t="str">
        <f ca="1">IFERROR(__xludf.DUMMYFUNCTION("""COMPUTED_VALUE"""),"97 ОКОТ")</f>
        <v>97 ОКОТ</v>
      </c>
      <c r="O314">
        <f ca="1">IFERROR(__xludf.DUMMYFUNCTION("""COMPUTED_VALUE"""),37780)</f>
        <v>37780</v>
      </c>
      <c r="P314" t="str">
        <f ca="1">IFERROR(__xludf.DUMMYFUNCTION("""COMPUTED_VALUE"""),"НИКОЛАЕВ-ДН")</f>
        <v>НИКОЛАЕВ-ДН</v>
      </c>
      <c r="Q314">
        <f ca="1">IFERROR(__xludf.DUMMYFUNCTION("""COMPUTED_VALUE"""),33300)</f>
        <v>33300</v>
      </c>
      <c r="R314" t="str">
        <f ca="1">IFERROR(__xludf.DUMMYFUNCTION("""COMPUTED_VALUE"""),"ГУМЕНЦЫ")</f>
        <v>ГУМЕНЦЫ</v>
      </c>
      <c r="S314" t="str">
        <f ca="1">IFERROR(__xludf.DUMMYFUNCTION("""COMPUTED_VALUE"""),"12.08.21 01-30")</f>
        <v>12.08.21 01-30</v>
      </c>
      <c r="T314">
        <f ca="1">IFERROR(__xludf.DUMMYFUNCTION("""COMPUTED_VALUE"""),5268)</f>
        <v>5268</v>
      </c>
      <c r="U314" t="str">
        <f ca="1">IFERROR(__xludf.DUMMYFUNCTION("""COMPUTED_VALUE"""),"02.09.2023 ДР")</f>
        <v>02.09.2023 ДР</v>
      </c>
      <c r="Z314" t="str">
        <f ca="1">IFERROR(__xludf.DUMMYFUNCTION("""COMPUTED_VALUE"""),"ООО ""КОМПАНИЯ ""ЮТАЛ-ТРАНС""")</f>
        <v>ООО "КОМПАНИЯ "ЮТАЛ-ТРАНС"</v>
      </c>
      <c r="AA314" t="str">
        <f ca="1">IFERROR(__xludf.DUMMYFUNCTION("""COMPUTED_VALUE"""),"12-783")</f>
        <v>12-783</v>
      </c>
      <c r="AB314" t="str">
        <f ca="1">IFERROR(__xludf.DUMMYFUNCTION("""COMPUTED_VALUE"""),"32 Ю-ЗАП")</f>
        <v>32 Ю-ЗАП</v>
      </c>
      <c r="AC314" t="str">
        <f ca="1">IFERROR(__xludf.DUMMYFUNCTION("""COMPUTED_VALUE"""),"34440 МИРОНОВКА")</f>
        <v>34440 МИРОНОВКА</v>
      </c>
      <c r="AD314" t="str">
        <f ca="1">IFERROR(__xludf.DUMMYFUNCTION("""COMPUTED_VALUE"""),"27.04.21 13-05")</f>
        <v>27.04.21 13-05</v>
      </c>
      <c r="AE314" t="str">
        <f ca="1">IFERROR(__xludf.DUMMYFUNCTION("""COMPUTED_VALUE"""),"445 ЗAВAP БAШМAКA")</f>
        <v>445 ЗAВAP БAШМAКA</v>
      </c>
      <c r="AF314" t="str">
        <f ca="1">IFERROR(__xludf.DUMMYFUNCTION("""COMPUTED_VALUE"""),"32 Ю-ЗАП")</f>
        <v>32 Ю-ЗАП</v>
      </c>
      <c r="AG314" t="str">
        <f ca="1">IFERROR(__xludf.DUMMYFUNCTION("""COMPUTED_VALUE"""),"34440 МИРОНОВКА")</f>
        <v>34440 МИРОНОВКА</v>
      </c>
      <c r="AH314" t="str">
        <f ca="1">IFERROR(__xludf.DUMMYFUNCTION("""COMPUTED_VALUE"""),"28.04.21 15-00")</f>
        <v>28.04.21 15-00</v>
      </c>
      <c r="AI314" s="21">
        <f ca="1">IFERROR(__xludf.DUMMYFUNCTION("""COMPUTED_VALUE"""),44420.357662037)</f>
        <v>44420.357662037</v>
      </c>
    </row>
    <row r="315" spans="1:35" ht="13" x14ac:dyDescent="0.15">
      <c r="A315">
        <f ca="1">IFERROR(__xludf.DUMMYFUNCTION("""COMPUTED_VALUE"""),1222)</f>
        <v>1222</v>
      </c>
      <c r="B315" t="str">
        <f ca="1">IFERROR(__xludf.DUMMYFUNCTION("""COMPUTED_VALUE"""),"Техрейс")</f>
        <v>Техрейс</v>
      </c>
      <c r="C315" t="str">
        <f ca="1">IFERROR(__xludf.DUMMYFUNCTION("""COMPUTED_VALUE"""),"ЮТАЛ-ТРАНС")</f>
        <v>ЮТАЛ-ТРАНС</v>
      </c>
      <c r="D315">
        <f ca="1">IFERROR(__xludf.DUMMYFUNCTION("""COMPUTED_VALUE"""),56030638)</f>
        <v>56030638</v>
      </c>
      <c r="E315" t="str">
        <f ca="1">IFERROR(__xludf.DUMMYFUNCTION("""COMPUTED_VALUE"""),"60 ПОЛУВАГОНЫ")</f>
        <v>60 ПОЛУВАГОНЫ</v>
      </c>
      <c r="F315">
        <f ca="1">IFERROR(__xludf.DUMMYFUNCTION("""COMPUTED_VALUE"""),14109)</f>
        <v>14109</v>
      </c>
      <c r="G315" t="str">
        <f ca="1">IFERROR(__xludf.DUMMYFUNCTION("""COMPUTED_VALUE"""),"ГЕМАТИТ")</f>
        <v>ГЕМАТИТ</v>
      </c>
      <c r="H315">
        <f ca="1">IFERROR(__xludf.DUMMYFUNCTION("""COMPUTED_VALUE"""),70)</f>
        <v>70</v>
      </c>
      <c r="I315">
        <f ca="1">IFERROR(__xludf.DUMMYFUNCTION("""COMPUTED_VALUE"""),5786)</f>
        <v>5786</v>
      </c>
      <c r="J315" t="str">
        <f ca="1">IFERROR(__xludf.DUMMYFUNCTION("""COMPUTED_VALUE"""),"3501 (46720-469-40060) КРИВОЙ РОГ - БЕРЕГОВАЯ-Э")</f>
        <v>3501 (46720-469-40060) КРИВОЙ РОГ - БЕРЕГОВАЯ-Э</v>
      </c>
      <c r="K315">
        <f ca="1">IFERROR(__xludf.DUMMYFUNCTION("""COMPUTED_VALUE"""),46720)</f>
        <v>46720</v>
      </c>
      <c r="L315" t="str">
        <f ca="1">IFERROR(__xludf.DUMMYFUNCTION("""COMPUTED_VALUE"""),"КРИВОЙ РОГ")</f>
        <v>КРИВОЙ РОГ</v>
      </c>
      <c r="M315" t="str">
        <f ca="1">IFERROR(__xludf.DUMMYFUNCTION("""COMPUTED_VALUE"""),"12.08.21 07-02")</f>
        <v>12.08.21 07-02</v>
      </c>
      <c r="N315" t="str">
        <f ca="1">IFERROR(__xludf.DUMMYFUNCTION("""COMPUTED_VALUE"""),"05 ФОРМ")</f>
        <v>05 ФОРМ</v>
      </c>
      <c r="O315">
        <f ca="1">IFERROR(__xludf.DUMMYFUNCTION("""COMPUTED_VALUE"""),40060)</f>
        <v>40060</v>
      </c>
      <c r="P315" t="str">
        <f ca="1">IFERROR(__xludf.DUMMYFUNCTION("""COMPUTED_VALUE"""),"БЕРЕГОВАЯ-Э")</f>
        <v>БЕРЕГОВАЯ-Э</v>
      </c>
      <c r="Q315">
        <f ca="1">IFERROR(__xludf.DUMMYFUNCTION("""COMPUTED_VALUE"""),46720)</f>
        <v>46720</v>
      </c>
      <c r="R315" t="str">
        <f ca="1">IFERROR(__xludf.DUMMYFUNCTION("""COMPUTED_VALUE"""),"КРИВОЙ РОГ")</f>
        <v>КРИВОЙ РОГ</v>
      </c>
      <c r="S315" t="str">
        <f ca="1">IFERROR(__xludf.DUMMYFUNCTION("""COMPUTED_VALUE"""),"12.08.21 07-00")</f>
        <v>12.08.21 07-00</v>
      </c>
      <c r="T315">
        <f ca="1">IFERROR(__xludf.DUMMYFUNCTION("""COMPUTED_VALUE"""),5343)</f>
        <v>5343</v>
      </c>
      <c r="U315" t="str">
        <f ca="1">IFERROR(__xludf.DUMMYFUNCTION("""COMPUTED_VALUE"""),"16.08.2023 ДР")</f>
        <v>16.08.2023 ДР</v>
      </c>
      <c r="Z315" t="str">
        <f ca="1">IFERROR(__xludf.DUMMYFUNCTION("""COMPUTED_VALUE"""),"ООО ""КОМПАНИЯ ""ЮТАЛ-ТРАНС""")</f>
        <v>ООО "КОМПАНИЯ "ЮТАЛ-ТРАНС"</v>
      </c>
      <c r="AA315" t="str">
        <f ca="1">IFERROR(__xludf.DUMMYFUNCTION("""COMPUTED_VALUE"""),"12-783")</f>
        <v>12-783</v>
      </c>
      <c r="AB315" t="str">
        <f ca="1">IFERROR(__xludf.DUMMYFUNCTION("""COMPUTED_VALUE"""),"45 ПРИДН")</f>
        <v>45 ПРИДН</v>
      </c>
      <c r="AC315" t="str">
        <f ca="1">IFERROR(__xludf.DUMMYFUNCTION("""COMPUTED_VALUE"""),"46720 КРИВОЙ РОГ")</f>
        <v>46720 КРИВОЙ РОГ</v>
      </c>
      <c r="AD315" t="str">
        <f ca="1">IFERROR(__xludf.DUMMYFUNCTION("""COMPUTED_VALUE"""),"08.08.21 01-20")</f>
        <v>08.08.21 01-20</v>
      </c>
      <c r="AE315" t="str">
        <f ca="1">IFERROR(__xludf.DUMMYFUNCTION("""COMPUTED_VALUE"""),"614 OБPЫВ ПО СВАРКЕ,PAЗPЫВ НAКЛAДOК ПОЛУВАГОНА")</f>
        <v>614 OБPЫВ ПО СВАРКЕ,PAЗPЫВ НAКЛAДOК ПОЛУВАГОНА</v>
      </c>
      <c r="AF315" t="str">
        <f ca="1">IFERROR(__xludf.DUMMYFUNCTION("""COMPUTED_VALUE"""),"45 ПРИДН")</f>
        <v>45 ПРИДН</v>
      </c>
      <c r="AG315" t="str">
        <f ca="1">IFERROR(__xludf.DUMMYFUNCTION("""COMPUTED_VALUE"""),"46720 КРИВОЙ РОГ")</f>
        <v>46720 КРИВОЙ РОГ</v>
      </c>
      <c r="AH315" t="str">
        <f ca="1">IFERROR(__xludf.DUMMYFUNCTION("""COMPUTED_VALUE"""),"08.08.21 16-00")</f>
        <v>08.08.21 16-00</v>
      </c>
      <c r="AI315" s="21">
        <f ca="1">IFERROR(__xludf.DUMMYFUNCTION("""COMPUTED_VALUE"""),44420.357662037)</f>
        <v>44420.357662037</v>
      </c>
    </row>
    <row r="316" spans="1:35" ht="13" x14ac:dyDescent="0.15">
      <c r="A316">
        <f ca="1">IFERROR(__xludf.DUMMYFUNCTION("""COMPUTED_VALUE"""),1223)</f>
        <v>1223</v>
      </c>
      <c r="B316" t="str">
        <f ca="1">IFERROR(__xludf.DUMMYFUNCTION("""COMPUTED_VALUE"""),"Техрейс")</f>
        <v>Техрейс</v>
      </c>
      <c r="C316" t="str">
        <f ca="1">IFERROR(__xludf.DUMMYFUNCTION("""COMPUTED_VALUE"""),"ЮТАЛ-ТРАНС")</f>
        <v>ЮТАЛ-ТРАНС</v>
      </c>
      <c r="D316">
        <f ca="1">IFERROR(__xludf.DUMMYFUNCTION("""COMPUTED_VALUE"""),56030737)</f>
        <v>56030737</v>
      </c>
      <c r="E316" t="str">
        <f ca="1">IFERROR(__xludf.DUMMYFUNCTION("""COMPUTED_VALUE"""),"60 ПОЛУВАГОНЫ")</f>
        <v>60 ПОЛУВАГОНЫ</v>
      </c>
      <c r="F316">
        <f ca="1">IFERROR(__xludf.DUMMYFUNCTION("""COMPUTED_VALUE"""),42103)</f>
        <v>42103</v>
      </c>
      <c r="G316" t="str">
        <f ca="1">IFERROR(__xludf.DUMMYFUNCTION("""COMPUTED_VALUE"""),"ВАГОНЫ ЖД СВ")</f>
        <v>ВАГОНЫ ЖД СВ</v>
      </c>
      <c r="H316">
        <f ca="1">IFERROR(__xludf.DUMMYFUNCTION("""COMPUTED_VALUE"""),0)</f>
        <v>0</v>
      </c>
      <c r="I316">
        <f ca="1">IFERROR(__xludf.DUMMYFUNCTION("""COMPUTED_VALUE"""),5343)</f>
        <v>5343</v>
      </c>
      <c r="J316" t="str">
        <f ca="1">IFERROR(__xludf.DUMMYFUNCTION("""COMPUTED_VALUE"""),"3501 (48280-098-48200) АВДЕЕВКА - ПОКРОВСК")</f>
        <v>3501 (48280-098-48200) АВДЕЕВКА - ПОКРОВСК</v>
      </c>
      <c r="K316">
        <f ca="1">IFERROR(__xludf.DUMMYFUNCTION("""COMPUTED_VALUE"""),48200)</f>
        <v>48200</v>
      </c>
      <c r="L316" t="str">
        <f ca="1">IFERROR(__xludf.DUMMYFUNCTION("""COMPUTED_VALUE"""),"ПОКРОВСК")</f>
        <v>ПОКРОВСК</v>
      </c>
      <c r="M316" t="str">
        <f ca="1">IFERROR(__xludf.DUMMYFUNCTION("""COMPUTED_VALUE"""),"12.08.21 05-34")</f>
        <v>12.08.21 05-34</v>
      </c>
      <c r="N316" t="str">
        <f ca="1">IFERROR(__xludf.DUMMYFUNCTION("""COMPUTED_VALUE"""),"04 РАСФ")</f>
        <v>04 РАСФ</v>
      </c>
      <c r="O316">
        <f ca="1">IFERROR(__xludf.DUMMYFUNCTION("""COMPUTED_VALUE"""),46720)</f>
        <v>46720</v>
      </c>
      <c r="P316" t="str">
        <f ca="1">IFERROR(__xludf.DUMMYFUNCTION("""COMPUTED_VALUE"""),"КРИВОЙ РОГ")</f>
        <v>КРИВОЙ РОГ</v>
      </c>
      <c r="Q316">
        <f ca="1">IFERROR(__xludf.DUMMYFUNCTION("""COMPUTED_VALUE"""),48280)</f>
        <v>48280</v>
      </c>
      <c r="R316" t="str">
        <f ca="1">IFERROR(__xludf.DUMMYFUNCTION("""COMPUTED_VALUE"""),"АВДЕЕВКА")</f>
        <v>АВДЕЕВКА</v>
      </c>
      <c r="S316" t="str">
        <f ca="1">IFERROR(__xludf.DUMMYFUNCTION("""COMPUTED_VALUE"""),"10.08.21 12-10")</f>
        <v>10.08.21 12-10</v>
      </c>
      <c r="T316">
        <f ca="1">IFERROR(__xludf.DUMMYFUNCTION("""COMPUTED_VALUE"""),7253)</f>
        <v>7253</v>
      </c>
      <c r="U316" t="str">
        <f ca="1">IFERROR(__xludf.DUMMYFUNCTION("""COMPUTED_VALUE"""),"30.10.2023 ДР")</f>
        <v>30.10.2023 ДР</v>
      </c>
      <c r="Z316" t="str">
        <f ca="1">IFERROR(__xludf.DUMMYFUNCTION("""COMPUTED_VALUE"""),"ООО ""КОМПАНИЯ ""ЮТАЛ-ТРАНС""")</f>
        <v>ООО "КОМПАНИЯ "ЮТАЛ-ТРАНС"</v>
      </c>
      <c r="AA316" t="str">
        <f ca="1">IFERROR(__xludf.DUMMYFUNCTION("""COMPUTED_VALUE"""),"12-783")</f>
        <v>12-783</v>
      </c>
      <c r="AB316" t="str">
        <f ca="1">IFERROR(__xludf.DUMMYFUNCTION("""COMPUTED_VALUE"""),"45 ПРИДН")</f>
        <v>45 ПРИДН</v>
      </c>
      <c r="AC316" t="str">
        <f ca="1">IFERROR(__xludf.DUMMYFUNCTION("""COMPUTED_VALUE"""),"45580 КАМЕНСКОЕ")</f>
        <v>45580 КАМЕНСКОЕ</v>
      </c>
      <c r="AD316" t="str">
        <f ca="1">IFERROR(__xludf.DUMMYFUNCTION("""COMPUTED_VALUE"""),"13.04.21 11-00")</f>
        <v>13.04.21 11-00</v>
      </c>
      <c r="AE316" t="str">
        <f ca="1">IFERROR(__xludf.DUMMYFUNCTION("""COMPUTED_VALUE"""),"540 НEИCПPAВНOCТЬ ЗAПOPA ЛЮКA")</f>
        <v>540 НEИCПPAВНOCТЬ ЗAПOPA ЛЮКA</v>
      </c>
      <c r="AF316" t="str">
        <f ca="1">IFERROR(__xludf.DUMMYFUNCTION("""COMPUTED_VALUE"""),"45 ПРИДН")</f>
        <v>45 ПРИДН</v>
      </c>
      <c r="AG316" t="str">
        <f ca="1">IFERROR(__xludf.DUMMYFUNCTION("""COMPUTED_VALUE"""),"45580 КАМЕНСКОЕ")</f>
        <v>45580 КАМЕНСКОЕ</v>
      </c>
      <c r="AH316" t="str">
        <f ca="1">IFERROR(__xludf.DUMMYFUNCTION("""COMPUTED_VALUE"""),"20.04.21 13-30")</f>
        <v>20.04.21 13-30</v>
      </c>
      <c r="AI316" s="21">
        <f ca="1">IFERROR(__xludf.DUMMYFUNCTION("""COMPUTED_VALUE"""),44420.357662037)</f>
        <v>44420.357662037</v>
      </c>
    </row>
    <row r="317" spans="1:35" ht="13" x14ac:dyDescent="0.15">
      <c r="A317">
        <f ca="1">IFERROR(__xludf.DUMMYFUNCTION("""COMPUTED_VALUE"""),1224)</f>
        <v>1224</v>
      </c>
      <c r="B317" t="str">
        <f ca="1">IFERROR(__xludf.DUMMYFUNCTION("""COMPUTED_VALUE"""),"Техрейс")</f>
        <v>Техрейс</v>
      </c>
      <c r="C317" t="str">
        <f ca="1">IFERROR(__xludf.DUMMYFUNCTION("""COMPUTED_VALUE"""),"ЮТАЛ-ТРАНС")</f>
        <v>ЮТАЛ-ТРАНС</v>
      </c>
      <c r="D317">
        <f ca="1">IFERROR(__xludf.DUMMYFUNCTION("""COMPUTED_VALUE"""),56030828)</f>
        <v>56030828</v>
      </c>
      <c r="E317" t="str">
        <f ca="1">IFERROR(__xludf.DUMMYFUNCTION("""COMPUTED_VALUE"""),"60 ПОЛУВАГОНЫ")</f>
        <v>60 ПОЛУВАГОНЫ</v>
      </c>
      <c r="F317">
        <f ca="1">IFERROR(__xludf.DUMMYFUNCTION("""COMPUTED_VALUE"""),42103)</f>
        <v>42103</v>
      </c>
      <c r="G317" t="str">
        <f ca="1">IFERROR(__xludf.DUMMYFUNCTION("""COMPUTED_VALUE"""),"ВАГОНЫ ЖД СВ")</f>
        <v>ВАГОНЫ ЖД СВ</v>
      </c>
      <c r="H317">
        <f ca="1">IFERROR(__xludf.DUMMYFUNCTION("""COMPUTED_VALUE"""),0)</f>
        <v>0</v>
      </c>
      <c r="I317">
        <f ca="1">IFERROR(__xludf.DUMMYFUNCTION("""COMPUTED_VALUE"""),5343)</f>
        <v>5343</v>
      </c>
      <c r="J317" t="str">
        <f ca="1">IFERROR(__xludf.DUMMYFUNCTION("""COMPUTED_VALUE"""),"3709 (45600-014-45640) ЗАПОРОЖЬЕ-КА - ВЕРХОВЦЕВО")</f>
        <v>3709 (45600-014-45640) ЗАПОРОЖЬЕ-КА - ВЕРХОВЦЕВО</v>
      </c>
      <c r="K317">
        <f ca="1">IFERROR(__xludf.DUMMYFUNCTION("""COMPUTED_VALUE"""),45640)</f>
        <v>45640</v>
      </c>
      <c r="L317" t="str">
        <f ca="1">IFERROR(__xludf.DUMMYFUNCTION("""COMPUTED_VALUE"""),"ВЕРХОВЦЕВО")</f>
        <v>ВЕРХОВЦЕВО</v>
      </c>
      <c r="M317" t="str">
        <f ca="1">IFERROR(__xludf.DUMMYFUNCTION("""COMPUTED_VALUE"""),"12.08.21 06-25")</f>
        <v>12.08.21 06-25</v>
      </c>
      <c r="N317" t="str">
        <f ca="1">IFERROR(__xludf.DUMMYFUNCTION("""COMPUTED_VALUE"""),"01 ПРИБ")</f>
        <v>01 ПРИБ</v>
      </c>
      <c r="O317">
        <f ca="1">IFERROR(__xludf.DUMMYFUNCTION("""COMPUTED_VALUE"""),46720)</f>
        <v>46720</v>
      </c>
      <c r="P317" t="str">
        <f ca="1">IFERROR(__xludf.DUMMYFUNCTION("""COMPUTED_VALUE"""),"КРИВОЙ РОГ")</f>
        <v>КРИВОЙ РОГ</v>
      </c>
      <c r="Q317">
        <f ca="1">IFERROR(__xludf.DUMMYFUNCTION("""COMPUTED_VALUE"""),45600)</f>
        <v>45600</v>
      </c>
      <c r="R317" t="str">
        <f ca="1">IFERROR(__xludf.DUMMYFUNCTION("""COMPUTED_VALUE"""),"ЗАПОРОЖЬЕ-КА")</f>
        <v>ЗАПОРОЖЬЕ-КА</v>
      </c>
      <c r="S317" t="str">
        <f ca="1">IFERROR(__xludf.DUMMYFUNCTION("""COMPUTED_VALUE"""),"10.08.21 16-20")</f>
        <v>10.08.21 16-20</v>
      </c>
      <c r="T317">
        <f ca="1">IFERROR(__xludf.DUMMYFUNCTION("""COMPUTED_VALUE"""),8200)</f>
        <v>8200</v>
      </c>
      <c r="U317" t="str">
        <f ca="1">IFERROR(__xludf.DUMMYFUNCTION("""COMPUTED_VALUE"""),"07.08.2022 ДР")</f>
        <v>07.08.2022 ДР</v>
      </c>
      <c r="Z317" t="str">
        <f ca="1">IFERROR(__xludf.DUMMYFUNCTION("""COMPUTED_VALUE"""),"ООО ""КОМПАНИЯ ""ЮТАЛ-ТРАНС""")</f>
        <v>ООО "КОМПАНИЯ "ЮТАЛ-ТРАНС"</v>
      </c>
      <c r="AA317" t="str">
        <f ca="1">IFERROR(__xludf.DUMMYFUNCTION("""COMPUTED_VALUE"""),"12-783")</f>
        <v>12-783</v>
      </c>
      <c r="AB317" t="str">
        <f ca="1">IFERROR(__xludf.DUMMYFUNCTION("""COMPUTED_VALUE"""),"32 Ю-ЗАП")</f>
        <v>32 Ю-ЗАП</v>
      </c>
      <c r="AC317" t="str">
        <f ca="1">IFERROR(__xludf.DUMMYFUNCTION("""COMPUTED_VALUE"""),"32500 ЧЕРНИГОВ")</f>
        <v>32500 ЧЕРНИГОВ</v>
      </c>
      <c r="AD317" t="str">
        <f ca="1">IFERROR(__xludf.DUMMYFUNCTION("""COMPUTED_VALUE"""),"16.06.21 14-30")</f>
        <v>16.06.21 14-30</v>
      </c>
      <c r="AE317" t="str">
        <f ca="1">IFERROR(__xludf.DUMMYFUNCTION("""COMPUTED_VALUE"""),"540 НEИCПPAВНOCТЬ ЗAПOPA ЛЮКA")</f>
        <v>540 НEИCПPAВНOCТЬ ЗAПOPA ЛЮКA</v>
      </c>
      <c r="AF317" t="str">
        <f ca="1">IFERROR(__xludf.DUMMYFUNCTION("""COMPUTED_VALUE"""),"32 Ю-ЗАП")</f>
        <v>32 Ю-ЗАП</v>
      </c>
      <c r="AG317" t="str">
        <f ca="1">IFERROR(__xludf.DUMMYFUNCTION("""COMPUTED_VALUE"""),"32500 ЧЕРНИГОВ")</f>
        <v>32500 ЧЕРНИГОВ</v>
      </c>
      <c r="AH317" t="str">
        <f ca="1">IFERROR(__xludf.DUMMYFUNCTION("""COMPUTED_VALUE"""),"17.06.21 15-30")</f>
        <v>17.06.21 15-30</v>
      </c>
      <c r="AI317" s="21">
        <f ca="1">IFERROR(__xludf.DUMMYFUNCTION("""COMPUTED_VALUE"""),44420.357662037)</f>
        <v>44420.357662037</v>
      </c>
    </row>
    <row r="318" spans="1:35" ht="13" x14ac:dyDescent="0.15">
      <c r="A318">
        <f ca="1">IFERROR(__xludf.DUMMYFUNCTION("""COMPUTED_VALUE"""),1225)</f>
        <v>1225</v>
      </c>
      <c r="B318" t="str">
        <f ca="1">IFERROR(__xludf.DUMMYFUNCTION("""COMPUTED_VALUE"""),"Техрейс")</f>
        <v>Техрейс</v>
      </c>
      <c r="C318" t="str">
        <f ca="1">IFERROR(__xludf.DUMMYFUNCTION("""COMPUTED_VALUE"""),"ЮТАЛ-ТРАНС")</f>
        <v>ЮТАЛ-ТРАНС</v>
      </c>
      <c r="D318">
        <f ca="1">IFERROR(__xludf.DUMMYFUNCTION("""COMPUTED_VALUE"""),56030901)</f>
        <v>56030901</v>
      </c>
      <c r="E318" t="str">
        <f ca="1">IFERROR(__xludf.DUMMYFUNCTION("""COMPUTED_VALUE"""),"60 ПОЛУВАГОНЫ")</f>
        <v>60 ПОЛУВАГОНЫ</v>
      </c>
      <c r="F318">
        <f ca="1">IFERROR(__xludf.DUMMYFUNCTION("""COMPUTED_VALUE"""),42103)</f>
        <v>42103</v>
      </c>
      <c r="G318" t="str">
        <f ca="1">IFERROR(__xludf.DUMMYFUNCTION("""COMPUTED_VALUE"""),"ВАГОНЫ ЖД СВ")</f>
        <v>ВАГОНЫ ЖД СВ</v>
      </c>
      <c r="H318">
        <f ca="1">IFERROR(__xludf.DUMMYFUNCTION("""COMPUTED_VALUE"""),0)</f>
        <v>0</v>
      </c>
      <c r="I318">
        <f ca="1">IFERROR(__xludf.DUMMYFUNCTION("""COMPUTED_VALUE"""),5343)</f>
        <v>5343</v>
      </c>
      <c r="J318" t="str">
        <f ca="1">IFERROR(__xludf.DUMMYFUNCTION("""COMPUTED_VALUE"""),"5555 (46720-324-00010) КРИВОЙ РОГ -")</f>
        <v>5555 (46720-324-00010) КРИВОЙ РОГ -</v>
      </c>
      <c r="K318">
        <f ca="1">IFERROR(__xludf.DUMMYFUNCTION("""COMPUTED_VALUE"""),46720)</f>
        <v>46720</v>
      </c>
      <c r="L318" t="str">
        <f ca="1">IFERROR(__xludf.DUMMYFUNCTION("""COMPUTED_VALUE"""),"КРИВОЙ РОГ")</f>
        <v>КРИВОЙ РОГ</v>
      </c>
      <c r="M318" t="str">
        <f ca="1">IFERROR(__xludf.DUMMYFUNCTION("""COMPUTED_VALUE"""),"04.08.21 16-10")</f>
        <v>04.08.21 16-10</v>
      </c>
      <c r="N318" t="str">
        <f ca="1">IFERROR(__xludf.DUMMYFUNCTION("""COMPUTED_VALUE"""),"98 ОТОТ")</f>
        <v>98 ОТОТ</v>
      </c>
      <c r="O318">
        <f ca="1">IFERROR(__xludf.DUMMYFUNCTION("""COMPUTED_VALUE"""),46720)</f>
        <v>46720</v>
      </c>
      <c r="P318" t="str">
        <f ca="1">IFERROR(__xludf.DUMMYFUNCTION("""COMPUTED_VALUE"""),"КРИВОЙ РОГ")</f>
        <v>КРИВОЙ РОГ</v>
      </c>
      <c r="Q318">
        <f ca="1">IFERROR(__xludf.DUMMYFUNCTION("""COMPUTED_VALUE"""),40050)</f>
        <v>40050</v>
      </c>
      <c r="R318" t="str">
        <f ca="1">IFERROR(__xludf.DUMMYFUNCTION("""COMPUTED_VALUE"""),"БЕРЕГОВАЯ")</f>
        <v>БЕРЕГОВАЯ</v>
      </c>
      <c r="S318" t="str">
        <f ca="1">IFERROR(__xludf.DUMMYFUNCTION("""COMPUTED_VALUE"""),"03.08.21 14-20")</f>
        <v>03.08.21 14-20</v>
      </c>
      <c r="T318">
        <f ca="1">IFERROR(__xludf.DUMMYFUNCTION("""COMPUTED_VALUE"""),8200)</f>
        <v>8200</v>
      </c>
      <c r="U318" t="str">
        <f ca="1">IFERROR(__xludf.DUMMYFUNCTION("""COMPUTED_VALUE"""),"16.10.2023 ДР")</f>
        <v>16.10.2023 ДР</v>
      </c>
      <c r="Z318" t="str">
        <f ca="1">IFERROR(__xludf.DUMMYFUNCTION("""COMPUTED_VALUE"""),"ООО ""КОМПАНИЯ ""ЮТАЛ-ТРАНС""")</f>
        <v>ООО "КОМПАНИЯ "ЮТАЛ-ТРАНС"</v>
      </c>
      <c r="AA318" t="str">
        <f ca="1">IFERROR(__xludf.DUMMYFUNCTION("""COMPUTED_VALUE"""),"12-783")</f>
        <v>12-783</v>
      </c>
      <c r="AB318" t="str">
        <f ca="1">IFERROR(__xludf.DUMMYFUNCTION("""COMPUTED_VALUE"""),"35 ЛЬВ")</f>
        <v>35 ЛЬВ</v>
      </c>
      <c r="AC318" t="str">
        <f ca="1">IFERROR(__xludf.DUMMYFUNCTION("""COMPUTED_VALUE"""),"36000 ТЕРНОПОЛЬ")</f>
        <v>36000 ТЕРНОПОЛЬ</v>
      </c>
      <c r="AD318" t="str">
        <f ca="1">IFERROR(__xludf.DUMMYFUNCTION("""COMPUTED_VALUE"""),"30.06.21 15-40")</f>
        <v>30.06.21 15-40</v>
      </c>
      <c r="AE318" t="str">
        <f ca="1">IFERROR(__xludf.DUMMYFUNCTION("""COMPUTED_VALUE"""),"540 НEИCПPAВНOCТЬ ЗAПOPA ЛЮКA")</f>
        <v>540 НEИCПPAВНOCТЬ ЗAПOPA ЛЮКA</v>
      </c>
      <c r="AF318" t="str">
        <f ca="1">IFERROR(__xludf.DUMMYFUNCTION("""COMPUTED_VALUE"""),"35 ЛЬВ")</f>
        <v>35 ЛЬВ</v>
      </c>
      <c r="AG318" t="str">
        <f ca="1">IFERROR(__xludf.DUMMYFUNCTION("""COMPUTED_VALUE"""),"36000 ТЕРНОПОЛЬ")</f>
        <v>36000 ТЕРНОПОЛЬ</v>
      </c>
      <c r="AH318" t="str">
        <f ca="1">IFERROR(__xludf.DUMMYFUNCTION("""COMPUTED_VALUE"""),"01.07.21 15-00")</f>
        <v>01.07.21 15-00</v>
      </c>
      <c r="AI318" s="21">
        <f ca="1">IFERROR(__xludf.DUMMYFUNCTION("""COMPUTED_VALUE"""),44420.357662037)</f>
        <v>44420.357662037</v>
      </c>
    </row>
    <row r="319" spans="1:35" ht="13" x14ac:dyDescent="0.15">
      <c r="A319">
        <f ca="1">IFERROR(__xludf.DUMMYFUNCTION("""COMPUTED_VALUE"""),1226)</f>
        <v>1226</v>
      </c>
      <c r="B319" t="str">
        <f ca="1">IFERROR(__xludf.DUMMYFUNCTION("""COMPUTED_VALUE"""),"Техрейс")</f>
        <v>Техрейс</v>
      </c>
      <c r="C319" t="str">
        <f ca="1">IFERROR(__xludf.DUMMYFUNCTION("""COMPUTED_VALUE"""),"ЮТАЛ-ТРАНС")</f>
        <v>ЮТАЛ-ТРАНС</v>
      </c>
      <c r="D319">
        <f ca="1">IFERROR(__xludf.DUMMYFUNCTION("""COMPUTED_VALUE"""),56030919)</f>
        <v>56030919</v>
      </c>
      <c r="E319" t="str">
        <f ca="1">IFERROR(__xludf.DUMMYFUNCTION("""COMPUTED_VALUE"""),"60 ПОЛУВАГОНЫ")</f>
        <v>60 ПОЛУВАГОНЫ</v>
      </c>
      <c r="F319">
        <f ca="1">IFERROR(__xludf.DUMMYFUNCTION("""COMPUTED_VALUE"""),14109)</f>
        <v>14109</v>
      </c>
      <c r="G319" t="str">
        <f ca="1">IFERROR(__xludf.DUMMYFUNCTION("""COMPUTED_VALUE"""),"ГЕМАТИТ")</f>
        <v>ГЕМАТИТ</v>
      </c>
      <c r="H319">
        <f ca="1">IFERROR(__xludf.DUMMYFUNCTION("""COMPUTED_VALUE"""),70)</f>
        <v>70</v>
      </c>
      <c r="I319">
        <f ca="1">IFERROR(__xludf.DUMMYFUNCTION("""COMPUTED_VALUE"""),5786)</f>
        <v>5786</v>
      </c>
      <c r="J319" t="str">
        <f ca="1">IFERROR(__xludf.DUMMYFUNCTION("""COMPUTED_VALUE"""),"2001 (40050-082-46720) БЕРЕГОВАЯ - КРИВОЙ РОГ")</f>
        <v>2001 (40050-082-46720) БЕРЕГОВАЯ - КРИВОЙ РОГ</v>
      </c>
      <c r="K319">
        <f ca="1">IFERROR(__xludf.DUMMYFUNCTION("""COMPUTED_VALUE"""),40050)</f>
        <v>40050</v>
      </c>
      <c r="L319" t="str">
        <f ca="1">IFERROR(__xludf.DUMMYFUNCTION("""COMPUTED_VALUE"""),"БЕРЕГОВАЯ")</f>
        <v>БЕРЕГОВАЯ</v>
      </c>
      <c r="M319" t="str">
        <f ca="1">IFERROR(__xludf.DUMMYFUNCTION("""COMPUTED_VALUE"""),"12.08.21 02-50")</f>
        <v>12.08.21 02-50</v>
      </c>
      <c r="N319" t="str">
        <f ca="1">IFERROR(__xludf.DUMMYFUNCTION("""COMPUTED_VALUE"""),"21 ВЫГ2")</f>
        <v>21 ВЫГ2</v>
      </c>
      <c r="O319">
        <f ca="1">IFERROR(__xludf.DUMMYFUNCTION("""COMPUTED_VALUE"""),40060)</f>
        <v>40060</v>
      </c>
      <c r="P319" t="str">
        <f ca="1">IFERROR(__xludf.DUMMYFUNCTION("""COMPUTED_VALUE"""),"БЕРЕГОВАЯ-Э")</f>
        <v>БЕРЕГОВАЯ-Э</v>
      </c>
      <c r="Q319">
        <f ca="1">IFERROR(__xludf.DUMMYFUNCTION("""COMPUTED_VALUE"""),46720)</f>
        <v>46720</v>
      </c>
      <c r="R319" t="str">
        <f ca="1">IFERROR(__xludf.DUMMYFUNCTION("""COMPUTED_VALUE"""),"КРИВОЙ РОГ")</f>
        <v>КРИВОЙ РОГ</v>
      </c>
      <c r="S319" t="str">
        <f ca="1">IFERROR(__xludf.DUMMYFUNCTION("""COMPUTED_VALUE"""),"07.08.21 15-30")</f>
        <v>07.08.21 15-30</v>
      </c>
      <c r="U319" t="str">
        <f ca="1">IFERROR(__xludf.DUMMYFUNCTION("""COMPUTED_VALUE"""),"23.08.2022 ДР")</f>
        <v>23.08.2022 ДР</v>
      </c>
      <c r="Z319" t="str">
        <f ca="1">IFERROR(__xludf.DUMMYFUNCTION("""COMPUTED_VALUE"""),"ООО ""КОМПАНИЯ ""ЮТАЛ-ТРАНС""")</f>
        <v>ООО "КОМПАНИЯ "ЮТАЛ-ТРАНС"</v>
      </c>
      <c r="AA319" t="str">
        <f ca="1">IFERROR(__xludf.DUMMYFUNCTION("""COMPUTED_VALUE"""),"12-783")</f>
        <v>12-783</v>
      </c>
      <c r="AB319" t="str">
        <f ca="1">IFERROR(__xludf.DUMMYFUNCTION("""COMPUTED_VALUE"""),"40 ОД")</f>
        <v>40 ОД</v>
      </c>
      <c r="AC319" t="str">
        <f ca="1">IFERROR(__xludf.DUMMYFUNCTION("""COMPUTED_VALUE"""),"41000 ЗНАМЕНКА")</f>
        <v>41000 ЗНАМЕНКА</v>
      </c>
      <c r="AD319" t="str">
        <f ca="1">IFERROR(__xludf.DUMMYFUNCTION("""COMPUTED_VALUE"""),"08.05.21 18-40")</f>
        <v>08.05.21 18-40</v>
      </c>
      <c r="AE319" t="str">
        <f ca="1">IFERROR(__xludf.DUMMYFUNCTION("""COMPUTED_VALUE"""),"540 НEИCПPAВНOCТЬ ЗAПOPA ЛЮКA")</f>
        <v>540 НEИCПPAВНOCТЬ ЗAПOPA ЛЮКA</v>
      </c>
      <c r="AF319" t="str">
        <f ca="1">IFERROR(__xludf.DUMMYFUNCTION("""COMPUTED_VALUE"""),"40 ОД")</f>
        <v>40 ОД</v>
      </c>
      <c r="AG319" t="str">
        <f ca="1">IFERROR(__xludf.DUMMYFUNCTION("""COMPUTED_VALUE"""),"41000 ЗНАМЕНКА")</f>
        <v>41000 ЗНАМЕНКА</v>
      </c>
      <c r="AH319" t="str">
        <f ca="1">IFERROR(__xludf.DUMMYFUNCTION("""COMPUTED_VALUE"""),"03.06.21 16-10")</f>
        <v>03.06.21 16-10</v>
      </c>
      <c r="AI319" s="21">
        <f ca="1">IFERROR(__xludf.DUMMYFUNCTION("""COMPUTED_VALUE"""),44420.357662037)</f>
        <v>44420.357662037</v>
      </c>
    </row>
    <row r="320" spans="1:35" ht="13" x14ac:dyDescent="0.15">
      <c r="A320">
        <f ca="1">IFERROR(__xludf.DUMMYFUNCTION("""COMPUTED_VALUE"""),1227)</f>
        <v>1227</v>
      </c>
      <c r="B320" t="str">
        <f ca="1">IFERROR(__xludf.DUMMYFUNCTION("""COMPUTED_VALUE"""),"Техрейс")</f>
        <v>Техрейс</v>
      </c>
      <c r="C320" t="str">
        <f ca="1">IFERROR(__xludf.DUMMYFUNCTION("""COMPUTED_VALUE"""),"ЮТАЛ-ТРАНС")</f>
        <v>ЮТАЛ-ТРАНС</v>
      </c>
      <c r="D320">
        <f ca="1">IFERROR(__xludf.DUMMYFUNCTION("""COMPUTED_VALUE"""),56067887)</f>
        <v>56067887</v>
      </c>
      <c r="E320" t="str">
        <f ca="1">IFERROR(__xludf.DUMMYFUNCTION("""COMPUTED_VALUE"""),"60 ПОЛУВАГОНЫ")</f>
        <v>60 ПОЛУВАГОНЫ</v>
      </c>
      <c r="F320">
        <f ca="1">IFERROR(__xludf.DUMMYFUNCTION("""COMPUTED_VALUE"""),42103)</f>
        <v>42103</v>
      </c>
      <c r="G320" t="str">
        <f ca="1">IFERROR(__xludf.DUMMYFUNCTION("""COMPUTED_VALUE"""),"ВАГОНЫ ЖД СВ")</f>
        <v>ВАГОНЫ ЖД СВ</v>
      </c>
      <c r="H320">
        <f ca="1">IFERROR(__xludf.DUMMYFUNCTION("""COMPUTED_VALUE"""),0)</f>
        <v>0</v>
      </c>
      <c r="I320">
        <f ca="1">IFERROR(__xludf.DUMMYFUNCTION("""COMPUTED_VALUE"""),4305)</f>
        <v>4305</v>
      </c>
      <c r="J320" t="str">
        <f ca="1">IFERROR(__xludf.DUMMYFUNCTION("""COMPUTED_VALUE"""),"2902 (41000-535-42500) ЗНАМЕНКА - КРЕМЕНЧУГ")</f>
        <v>2902 (41000-535-42500) ЗНАМЕНКА - КРЕМЕНЧУГ</v>
      </c>
      <c r="K320">
        <f ca="1">IFERROR(__xludf.DUMMYFUNCTION("""COMPUTED_VALUE"""),41030)</f>
        <v>41030</v>
      </c>
      <c r="L320" t="str">
        <f ca="1">IFERROR(__xludf.DUMMYFUNCTION("""COMPUTED_VALUE"""),"КОРИСТОВКА")</f>
        <v>КОРИСТОВКА</v>
      </c>
      <c r="M320" t="str">
        <f ca="1">IFERROR(__xludf.DUMMYFUNCTION("""COMPUTED_VALUE"""),"12.08.21 08-13")</f>
        <v>12.08.21 08-13</v>
      </c>
      <c r="N320" t="str">
        <f ca="1">IFERROR(__xludf.DUMMYFUNCTION("""COMPUTED_VALUE"""),"09 ГОТ")</f>
        <v>09 ГОТ</v>
      </c>
      <c r="O320">
        <f ca="1">IFERROR(__xludf.DUMMYFUNCTION("""COMPUTED_VALUE"""),42500)</f>
        <v>42500</v>
      </c>
      <c r="P320" t="str">
        <f ca="1">IFERROR(__xludf.DUMMYFUNCTION("""COMPUTED_VALUE"""),"КРЕМЕНЧУГ")</f>
        <v>КРЕМЕНЧУГ</v>
      </c>
      <c r="Q320">
        <f ca="1">IFERROR(__xludf.DUMMYFUNCTION("""COMPUTED_VALUE"""),42420)</f>
        <v>42420</v>
      </c>
      <c r="R320" t="str">
        <f ca="1">IFERROR(__xludf.DUMMYFUNCTION("""COMPUTED_VALUE"""),"ЧЕРКАССЫ")</f>
        <v>ЧЕРКАССЫ</v>
      </c>
      <c r="S320" t="str">
        <f ca="1">IFERROR(__xludf.DUMMYFUNCTION("""COMPUTED_VALUE"""),"09.08.21 19-20")</f>
        <v>09.08.21 19-20</v>
      </c>
      <c r="T320">
        <f ca="1">IFERROR(__xludf.DUMMYFUNCTION("""COMPUTED_VALUE"""),8200)</f>
        <v>8200</v>
      </c>
      <c r="U320" t="str">
        <f ca="1">IFERROR(__xludf.DUMMYFUNCTION("""COMPUTED_VALUE"""),"21.08.2022 ДР")</f>
        <v>21.08.2022 ДР</v>
      </c>
      <c r="Z320" t="str">
        <f ca="1">IFERROR(__xludf.DUMMYFUNCTION("""COMPUTED_VALUE"""),"ООО ""КОМПАНИЯ ""ЮТАЛ-ТРАНС""")</f>
        <v>ООО "КОМПАНИЯ "ЮТАЛ-ТРАНС"</v>
      </c>
      <c r="AA320" t="str">
        <f ca="1">IFERROR(__xludf.DUMMYFUNCTION("""COMPUTED_VALUE"""),"12-783")</f>
        <v>12-783</v>
      </c>
      <c r="AB320" t="str">
        <f ca="1">IFERROR(__xludf.DUMMYFUNCTION("""COMPUTED_VALUE"""),"45 ПРИДН")</f>
        <v>45 ПРИДН</v>
      </c>
      <c r="AC320" t="str">
        <f ca="1">IFERROR(__xludf.DUMMYFUNCTION("""COMPUTED_VALUE"""),"46700 КРИВ.РОГ-ГЛА")</f>
        <v>46700 КРИВ.РОГ-ГЛА</v>
      </c>
      <c r="AD320" t="str">
        <f ca="1">IFERROR(__xludf.DUMMYFUNCTION("""COMPUTED_VALUE"""),"01.05.21 20-30")</f>
        <v>01.05.21 20-30</v>
      </c>
      <c r="AE320" t="str">
        <f ca="1">IFERROR(__xludf.DUMMYFUNCTION("""COMPUTED_VALUE"""),"503 OБPЫВ CВAPНOГO ШВA CТOЙКИ")</f>
        <v>503 OБPЫВ CВAPНOГO ШВA CТOЙКИ</v>
      </c>
      <c r="AF320" t="str">
        <f ca="1">IFERROR(__xludf.DUMMYFUNCTION("""COMPUTED_VALUE"""),"45 ПРИДН")</f>
        <v>45 ПРИДН</v>
      </c>
      <c r="AG320" t="str">
        <f ca="1">IFERROR(__xludf.DUMMYFUNCTION("""COMPUTED_VALUE"""),"46700 КРИВ.РОГ-ГЛА")</f>
        <v>46700 КРИВ.РОГ-ГЛА</v>
      </c>
      <c r="AH320" t="str">
        <f ca="1">IFERROR(__xludf.DUMMYFUNCTION("""COMPUTED_VALUE"""),"04.05.21 18-05")</f>
        <v>04.05.21 18-05</v>
      </c>
      <c r="AI320" s="21">
        <f ca="1">IFERROR(__xludf.DUMMYFUNCTION("""COMPUTED_VALUE"""),44420.357662037)</f>
        <v>44420.357662037</v>
      </c>
    </row>
    <row r="321" spans="1:35" ht="13" x14ac:dyDescent="0.15">
      <c r="A321">
        <f ca="1">IFERROR(__xludf.DUMMYFUNCTION("""COMPUTED_VALUE"""),1228)</f>
        <v>1228</v>
      </c>
      <c r="B321" t="str">
        <f ca="1">IFERROR(__xludf.DUMMYFUNCTION("""COMPUTED_VALUE"""),"Техрейс")</f>
        <v>Техрейс</v>
      </c>
      <c r="C321" t="str">
        <f ca="1">IFERROR(__xludf.DUMMYFUNCTION("""COMPUTED_VALUE"""),"ЮТАЛ-ТРАНС")</f>
        <v>ЮТАЛ-ТРАНС</v>
      </c>
      <c r="D321">
        <f ca="1">IFERROR(__xludf.DUMMYFUNCTION("""COMPUTED_VALUE"""),56067929)</f>
        <v>56067929</v>
      </c>
      <c r="E321" t="str">
        <f ca="1">IFERROR(__xludf.DUMMYFUNCTION("""COMPUTED_VALUE"""),"60 ПОЛУВАГОНЫ")</f>
        <v>60 ПОЛУВАГОНЫ</v>
      </c>
      <c r="F321">
        <f ca="1">IFERROR(__xludf.DUMMYFUNCTION("""COMPUTED_VALUE"""),24132)</f>
        <v>24132</v>
      </c>
      <c r="G321" t="str">
        <f ca="1">IFERROR(__xludf.DUMMYFUNCTION("""COMPUTED_VALUE"""),"КАМЕНЬ ГИПСОВ")</f>
        <v>КАМЕНЬ ГИПСОВ</v>
      </c>
      <c r="H321">
        <f ca="1">IFERROR(__xludf.DUMMYFUNCTION("""COMPUTED_VALUE"""),70)</f>
        <v>70</v>
      </c>
      <c r="I321">
        <f ca="1">IFERROR(__xludf.DUMMYFUNCTION("""COMPUTED_VALUE"""),8249)</f>
        <v>8249</v>
      </c>
      <c r="J321" t="str">
        <f ca="1">IFERROR(__xludf.DUMMYFUNCTION("""COMPUTED_VALUE"""),"4834 (32260-099-32280) БОРИСПОЛЬ - БЕРЕЗАНЬ")</f>
        <v>4834 (32260-099-32280) БОРИСПОЛЬ - БЕРЕЗАНЬ</v>
      </c>
      <c r="K321">
        <f ca="1">IFERROR(__xludf.DUMMYFUNCTION("""COMPUTED_VALUE"""),32280)</f>
        <v>32280</v>
      </c>
      <c r="L321" t="str">
        <f ca="1">IFERROR(__xludf.DUMMYFUNCTION("""COMPUTED_VALUE"""),"БЕРЕЗАНЬ")</f>
        <v>БЕРЕЗАНЬ</v>
      </c>
      <c r="M321" t="str">
        <f ca="1">IFERROR(__xludf.DUMMYFUNCTION("""COMPUTED_VALUE"""),"12.08.21 00-06")</f>
        <v>12.08.21 00-06</v>
      </c>
      <c r="N321" t="str">
        <f ca="1">IFERROR(__xludf.DUMMYFUNCTION("""COMPUTED_VALUE"""),"04 РАСФ")</f>
        <v>04 РАСФ</v>
      </c>
      <c r="O321">
        <f ca="1">IFERROR(__xludf.DUMMYFUNCTION("""COMPUTED_VALUE"""),32280)</f>
        <v>32280</v>
      </c>
      <c r="P321" t="str">
        <f ca="1">IFERROR(__xludf.DUMMYFUNCTION("""COMPUTED_VALUE"""),"БЕРЕЗАНЬ")</f>
        <v>БЕРЕЗАНЬ</v>
      </c>
      <c r="Q321">
        <f ca="1">IFERROR(__xludf.DUMMYFUNCTION("""COMPUTED_VALUE"""),49480)</f>
        <v>49480</v>
      </c>
      <c r="R321" t="str">
        <f ca="1">IFERROR(__xludf.DUMMYFUNCTION("""COMPUTED_VALUE"""),"СОЛЬ")</f>
        <v>СОЛЬ</v>
      </c>
      <c r="S321" t="str">
        <f ca="1">IFERROR(__xludf.DUMMYFUNCTION("""COMPUTED_VALUE"""),"03.08.21 17-00")</f>
        <v>03.08.21 17-00</v>
      </c>
      <c r="T321">
        <f ca="1">IFERROR(__xludf.DUMMYFUNCTION("""COMPUTED_VALUE"""),5377)</f>
        <v>5377</v>
      </c>
      <c r="U321" t="str">
        <f ca="1">IFERROR(__xludf.DUMMYFUNCTION("""COMPUTED_VALUE"""),"06.09.2022 ДР")</f>
        <v>06.09.2022 ДР</v>
      </c>
      <c r="Z321" t="str">
        <f ca="1">IFERROR(__xludf.DUMMYFUNCTION("""COMPUTED_VALUE"""),"ООО ""КОМПАНИЯ ""ЮТАЛ-ТРАНС""")</f>
        <v>ООО "КОМПАНИЯ "ЮТАЛ-ТРАНС"</v>
      </c>
      <c r="AA321" t="str">
        <f ca="1">IFERROR(__xludf.DUMMYFUNCTION("""COMPUTED_VALUE"""),"12-783")</f>
        <v>12-783</v>
      </c>
      <c r="AB321" t="str">
        <f ca="1">IFERROR(__xludf.DUMMYFUNCTION("""COMPUTED_VALUE"""),"45 ПРИДН")</f>
        <v>45 ПРИДН</v>
      </c>
      <c r="AC321" t="str">
        <f ca="1">IFERROR(__xludf.DUMMYFUNCTION("""COMPUTED_VALUE"""),"46660 АПОСТОЛОВО")</f>
        <v>46660 АПОСТОЛОВО</v>
      </c>
      <c r="AD321" t="str">
        <f ca="1">IFERROR(__xludf.DUMMYFUNCTION("""COMPUTED_VALUE"""),"19.04.21 00-35")</f>
        <v>19.04.21 00-35</v>
      </c>
      <c r="AE321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21" t="str">
        <f ca="1">IFERROR(__xludf.DUMMYFUNCTION("""COMPUTED_VALUE"""),"45 ПРИДН")</f>
        <v>45 ПРИДН</v>
      </c>
      <c r="AG321" t="str">
        <f ca="1">IFERROR(__xludf.DUMMYFUNCTION("""COMPUTED_VALUE"""),"46660 АПОСТОЛОВО")</f>
        <v>46660 АПОСТОЛОВО</v>
      </c>
      <c r="AH321" t="str">
        <f ca="1">IFERROR(__xludf.DUMMYFUNCTION("""COMPUTED_VALUE"""),"21.04.21 16-00")</f>
        <v>21.04.21 16-00</v>
      </c>
      <c r="AI321" s="21">
        <f ca="1">IFERROR(__xludf.DUMMYFUNCTION("""COMPUTED_VALUE"""),44420.357662037)</f>
        <v>44420.357662037</v>
      </c>
    </row>
    <row r="322" spans="1:35" ht="13" x14ac:dyDescent="0.15">
      <c r="A322">
        <f ca="1">IFERROR(__xludf.DUMMYFUNCTION("""COMPUTED_VALUE"""),1229)</f>
        <v>1229</v>
      </c>
      <c r="B322" t="str">
        <f ca="1">IFERROR(__xludf.DUMMYFUNCTION("""COMPUTED_VALUE"""),"Техрейс")</f>
        <v>Техрейс</v>
      </c>
      <c r="C322" t="str">
        <f ca="1">IFERROR(__xludf.DUMMYFUNCTION("""COMPUTED_VALUE"""),"ЮТАЛ-ТРАНС")</f>
        <v>ЮТАЛ-ТРАНС</v>
      </c>
      <c r="D322">
        <f ca="1">IFERROR(__xludf.DUMMYFUNCTION("""COMPUTED_VALUE"""),56068117)</f>
        <v>56068117</v>
      </c>
      <c r="E322" t="str">
        <f ca="1">IFERROR(__xludf.DUMMYFUNCTION("""COMPUTED_VALUE"""),"60 ПОЛУВАГОНЫ")</f>
        <v>60 ПОЛУВАГОНЫ</v>
      </c>
      <c r="F322">
        <f ca="1">IFERROR(__xludf.DUMMYFUNCTION("""COMPUTED_VALUE"""),42103)</f>
        <v>42103</v>
      </c>
      <c r="G322" t="str">
        <f ca="1">IFERROR(__xludf.DUMMYFUNCTION("""COMPUTED_VALUE"""),"ВАГОНЫ ЖД СВ")</f>
        <v>ВАГОНЫ ЖД СВ</v>
      </c>
      <c r="H322">
        <f ca="1">IFERROR(__xludf.DUMMYFUNCTION("""COMPUTED_VALUE"""),0)</f>
        <v>0</v>
      </c>
      <c r="I322">
        <f ca="1">IFERROR(__xludf.DUMMYFUNCTION("""COMPUTED_VALUE"""),2123)</f>
        <v>2123</v>
      </c>
      <c r="J322" t="str">
        <f ca="1">IFERROR(__xludf.DUMMYFUNCTION("""COMPUTED_VALUE"""),"3501 (34440-733-34470) МИРОНОВКА - ТРИПОЛЬЕ-ДН")</f>
        <v>3501 (34440-733-34470) МИРОНОВКА - ТРИПОЛЬЕ-ДН</v>
      </c>
      <c r="K322">
        <f ca="1">IFERROR(__xludf.DUMMYFUNCTION("""COMPUTED_VALUE"""),34440)</f>
        <v>34440</v>
      </c>
      <c r="L322" t="str">
        <f ca="1">IFERROR(__xludf.DUMMYFUNCTION("""COMPUTED_VALUE"""),"МИРОНОВКА")</f>
        <v>МИРОНОВКА</v>
      </c>
      <c r="M322" t="str">
        <f ca="1">IFERROR(__xludf.DUMMYFUNCTION("""COMPUTED_VALUE"""),"11.08.21 06-52")</f>
        <v>11.08.21 06-52</v>
      </c>
      <c r="N322" t="str">
        <f ca="1">IFERROR(__xludf.DUMMYFUNCTION("""COMPUTED_VALUE"""),"05 ФОРМ")</f>
        <v>05 ФОРМ</v>
      </c>
      <c r="O322">
        <f ca="1">IFERROR(__xludf.DUMMYFUNCTION("""COMPUTED_VALUE"""),32090)</f>
        <v>32090</v>
      </c>
      <c r="P322" t="str">
        <f ca="1">IFERROR(__xludf.DUMMYFUNCTION("""COMPUTED_VALUE"""),"НОВЫЕ БЕЗР")</f>
        <v>НОВЫЕ БЕЗР</v>
      </c>
      <c r="Q322">
        <f ca="1">IFERROR(__xludf.DUMMYFUNCTION("""COMPUTED_VALUE"""),42230)</f>
        <v>42230</v>
      </c>
      <c r="R322" t="str">
        <f ca="1">IFERROR(__xludf.DUMMYFUNCTION("""COMPUTED_VALUE"""),"КОРСУНЬ")</f>
        <v>КОРСУНЬ</v>
      </c>
      <c r="S322" t="str">
        <f ca="1">IFERROR(__xludf.DUMMYFUNCTION("""COMPUTED_VALUE"""),"07.08.21 11-40")</f>
        <v>07.08.21 11-40</v>
      </c>
      <c r="T322">
        <f ca="1">IFERROR(__xludf.DUMMYFUNCTION("""COMPUTED_VALUE"""),8200)</f>
        <v>8200</v>
      </c>
      <c r="U322" t="str">
        <f ca="1">IFERROR(__xludf.DUMMYFUNCTION("""COMPUTED_VALUE"""),"07.11.2023 ДР")</f>
        <v>07.11.2023 ДР</v>
      </c>
      <c r="Z322" t="str">
        <f ca="1">IFERROR(__xludf.DUMMYFUNCTION("""COMPUTED_VALUE"""),"ООО ""КОМПАНИЯ ""ЮТАЛ-ТРАНС""")</f>
        <v>ООО "КОМПАНИЯ "ЮТАЛ-ТРАНС"</v>
      </c>
      <c r="AA322" t="str">
        <f ca="1">IFERROR(__xludf.DUMMYFUNCTION("""COMPUTED_VALUE"""),"12-783")</f>
        <v>12-783</v>
      </c>
      <c r="AB322" t="str">
        <f ca="1">IFERROR(__xludf.DUMMYFUNCTION("""COMPUTED_VALUE"""),"40 ОД")</f>
        <v>40 ОД</v>
      </c>
      <c r="AC322" t="str">
        <f ca="1">IFERROR(__xludf.DUMMYFUNCTION("""COMPUTED_VALUE"""),"41000 ЗНАМЕНКА")</f>
        <v>41000 ЗНАМЕНКА</v>
      </c>
      <c r="AD322" t="str">
        <f ca="1">IFERROR(__xludf.DUMMYFUNCTION("""COMPUTED_VALUE"""),"28.10.20 10-00")</f>
        <v>28.10.20 10-00</v>
      </c>
      <c r="AE322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22" t="str">
        <f ca="1">IFERROR(__xludf.DUMMYFUNCTION("""COMPUTED_VALUE"""),"40 ОД")</f>
        <v>40 ОД</v>
      </c>
      <c r="AG322" t="str">
        <f ca="1">IFERROR(__xludf.DUMMYFUNCTION("""COMPUTED_VALUE"""),"41000 ЗНАМЕНКА")</f>
        <v>41000 ЗНАМЕНКА</v>
      </c>
      <c r="AH322" t="str">
        <f ca="1">IFERROR(__xludf.DUMMYFUNCTION("""COMPUTED_VALUE"""),"07.11.20 14-00")</f>
        <v>07.11.20 14-00</v>
      </c>
      <c r="AI322" s="21">
        <f ca="1">IFERROR(__xludf.DUMMYFUNCTION("""COMPUTED_VALUE"""),44420.357662037)</f>
        <v>44420.357662037</v>
      </c>
    </row>
    <row r="323" spans="1:35" ht="13" x14ac:dyDescent="0.15">
      <c r="A323">
        <f ca="1">IFERROR(__xludf.DUMMYFUNCTION("""COMPUTED_VALUE"""),1230)</f>
        <v>1230</v>
      </c>
      <c r="B323" t="str">
        <f ca="1">IFERROR(__xludf.DUMMYFUNCTION("""COMPUTED_VALUE"""),"Подольский цемент")</f>
        <v>Подольский цемент</v>
      </c>
      <c r="C323" t="str">
        <f ca="1">IFERROR(__xludf.DUMMYFUNCTION("""COMPUTED_VALUE"""),"ЮТАЛ-ТРАНС")</f>
        <v>ЮТАЛ-ТРАНС</v>
      </c>
      <c r="D323">
        <f ca="1">IFERROR(__xludf.DUMMYFUNCTION("""COMPUTED_VALUE"""),56068133)</f>
        <v>56068133</v>
      </c>
      <c r="E323" t="str">
        <f ca="1">IFERROR(__xludf.DUMMYFUNCTION("""COMPUTED_VALUE"""),"60 ПОЛУВАГОНЫ")</f>
        <v>60 ПОЛУВАГОНЫ</v>
      </c>
      <c r="F323">
        <f ca="1">IFERROR(__xludf.DUMMYFUNCTION("""COMPUTED_VALUE"""),24500)</f>
        <v>24500</v>
      </c>
      <c r="G323" t="str">
        <f ca="1">IFERROR(__xludf.DUMMYFUNCTION("""COMPUTED_VALUE"""),"КЛИНКЕР ЦЕМЕНТ")</f>
        <v>КЛИНКЕР ЦЕМЕНТ</v>
      </c>
      <c r="H323">
        <f ca="1">IFERROR(__xludf.DUMMYFUNCTION("""COMPUTED_VALUE"""),69)</f>
        <v>69</v>
      </c>
      <c r="I323">
        <f ca="1">IFERROR(__xludf.DUMMYFUNCTION("""COMPUTED_VALUE"""),1489)</f>
        <v>1489</v>
      </c>
      <c r="J323" t="str">
        <f ca="1">IFERROR(__xludf.DUMMYFUNCTION("""COMPUTED_VALUE"""),"9511 (33300-030-37780) ГУМЕНЦЫ - НИКОЛАЕВ-ДН")</f>
        <v>9511 (33300-030-37780) ГУМЕНЦЫ - НИКОЛАЕВ-ДН</v>
      </c>
      <c r="K323">
        <f ca="1">IFERROR(__xludf.DUMMYFUNCTION("""COMPUTED_VALUE"""),37780)</f>
        <v>37780</v>
      </c>
      <c r="L323" t="str">
        <f ca="1">IFERROR(__xludf.DUMMYFUNCTION("""COMPUTED_VALUE"""),"НИКОЛАЕВ-ДН")</f>
        <v>НИКОЛАЕВ-ДН</v>
      </c>
      <c r="M323" t="str">
        <f ca="1">IFERROR(__xludf.DUMMYFUNCTION("""COMPUTED_VALUE"""),"10.08.21 17-40")</f>
        <v>10.08.21 17-40</v>
      </c>
      <c r="N323" t="str">
        <f ca="1">IFERROR(__xludf.DUMMYFUNCTION("""COMPUTED_VALUE"""),"21 ВЫГ2")</f>
        <v>21 ВЫГ2</v>
      </c>
      <c r="O323">
        <f ca="1">IFERROR(__xludf.DUMMYFUNCTION("""COMPUTED_VALUE"""),37780)</f>
        <v>37780</v>
      </c>
      <c r="P323" t="str">
        <f ca="1">IFERROR(__xludf.DUMMYFUNCTION("""COMPUTED_VALUE"""),"НИКОЛАЕВ-ДН")</f>
        <v>НИКОЛАЕВ-ДН</v>
      </c>
      <c r="Q323">
        <f ca="1">IFERROR(__xludf.DUMMYFUNCTION("""COMPUTED_VALUE"""),33300)</f>
        <v>33300</v>
      </c>
      <c r="R323" t="str">
        <f ca="1">IFERROR(__xludf.DUMMYFUNCTION("""COMPUTED_VALUE"""),"ГУМЕНЦЫ")</f>
        <v>ГУМЕНЦЫ</v>
      </c>
      <c r="S323" t="str">
        <f ca="1">IFERROR(__xludf.DUMMYFUNCTION("""COMPUTED_VALUE"""),"09.08.21 09-20")</f>
        <v>09.08.21 09-20</v>
      </c>
      <c r="U323" t="str">
        <f ca="1">IFERROR(__xludf.DUMMYFUNCTION("""COMPUTED_VALUE"""),"01.10.2023 ДР")</f>
        <v>01.10.2023 ДР</v>
      </c>
      <c r="Z323" t="str">
        <f ca="1">IFERROR(__xludf.DUMMYFUNCTION("""COMPUTED_VALUE"""),"ООО ""КОМПАНИЯ ""ЮТАЛ-ТРАНС""")</f>
        <v>ООО "КОМПАНИЯ "ЮТАЛ-ТРАНС"</v>
      </c>
      <c r="AA323" t="str">
        <f ca="1">IFERROR(__xludf.DUMMYFUNCTION("""COMPUTED_VALUE"""),"12-783")</f>
        <v>12-783</v>
      </c>
      <c r="AB323" t="str">
        <f ca="1">IFERROR(__xludf.DUMMYFUNCTION("""COMPUTED_VALUE"""),"45 ПРИДН")</f>
        <v>45 ПРИДН</v>
      </c>
      <c r="AC323" t="str">
        <f ca="1">IFERROR(__xludf.DUMMYFUNCTION("""COMPUTED_VALUE"""),"46700 КРИВ.РОГ-ГЛА")</f>
        <v>46700 КРИВ.РОГ-ГЛА</v>
      </c>
      <c r="AD323" t="str">
        <f ca="1">IFERROR(__xludf.DUMMYFUNCTION("""COMPUTED_VALUE"""),"01.05.21 20-30")</f>
        <v>01.05.21 20-30</v>
      </c>
      <c r="AE323" t="str">
        <f ca="1">IFERROR(__xludf.DUMMYFUNCTION("""COMPUTED_VALUE"""),"445 ЗAВAP БAШМAКA")</f>
        <v>445 ЗAВAP БAШМAКA</v>
      </c>
      <c r="AF323" t="str">
        <f ca="1">IFERROR(__xludf.DUMMYFUNCTION("""COMPUTED_VALUE"""),"45 ПРИДН")</f>
        <v>45 ПРИДН</v>
      </c>
      <c r="AG323" t="str">
        <f ca="1">IFERROR(__xludf.DUMMYFUNCTION("""COMPUTED_VALUE"""),"46700 КРИВ.РОГ-ГЛА")</f>
        <v>46700 КРИВ.РОГ-ГЛА</v>
      </c>
      <c r="AH323" t="str">
        <f ca="1">IFERROR(__xludf.DUMMYFUNCTION("""COMPUTED_VALUE"""),"06.05.21 16-00")</f>
        <v>06.05.21 16-00</v>
      </c>
      <c r="AI323" s="21">
        <f ca="1">IFERROR(__xludf.DUMMYFUNCTION("""COMPUTED_VALUE"""),44420.357662037)</f>
        <v>44420.357662037</v>
      </c>
    </row>
    <row r="324" spans="1:35" ht="13" x14ac:dyDescent="0.15">
      <c r="A324">
        <f ca="1">IFERROR(__xludf.DUMMYFUNCTION("""COMPUTED_VALUE"""),1231)</f>
        <v>1231</v>
      </c>
      <c r="B324" t="str">
        <f ca="1">IFERROR(__xludf.DUMMYFUNCTION("""COMPUTED_VALUE"""),"Техрейс")</f>
        <v>Техрейс</v>
      </c>
      <c r="C324" t="str">
        <f ca="1">IFERROR(__xludf.DUMMYFUNCTION("""COMPUTED_VALUE"""),"ЮТАЛ-ТРАНС")</f>
        <v>ЮТАЛ-ТРАНС</v>
      </c>
      <c r="D324">
        <f ca="1">IFERROR(__xludf.DUMMYFUNCTION("""COMPUTED_VALUE"""),56068182)</f>
        <v>56068182</v>
      </c>
      <c r="E324" t="str">
        <f ca="1">IFERROR(__xludf.DUMMYFUNCTION("""COMPUTED_VALUE"""),"60 ПОЛУВАГОНЫ")</f>
        <v>60 ПОЛУВАГОНЫ</v>
      </c>
      <c r="F324">
        <f ca="1">IFERROR(__xludf.DUMMYFUNCTION("""COMPUTED_VALUE"""),42103)</f>
        <v>42103</v>
      </c>
      <c r="G324" t="str">
        <f ca="1">IFERROR(__xludf.DUMMYFUNCTION("""COMPUTED_VALUE"""),"ВАГОНЫ ЖД СВ")</f>
        <v>ВАГОНЫ ЖД СВ</v>
      </c>
      <c r="H324">
        <f ca="1">IFERROR(__xludf.DUMMYFUNCTION("""COMPUTED_VALUE"""),0)</f>
        <v>0</v>
      </c>
      <c r="I324">
        <f ca="1">IFERROR(__xludf.DUMMYFUNCTION("""COMPUTED_VALUE"""),5343)</f>
        <v>5343</v>
      </c>
      <c r="J324" t="str">
        <f ca="1">IFERROR(__xludf.DUMMYFUNCTION("""COMPUTED_VALUE"""),"3501 (46720-472-40060) КРИВОЙ РОГ - БЕРЕГОВАЯ-Э")</f>
        <v>3501 (46720-472-40060) КРИВОЙ РОГ - БЕРЕГОВАЯ-Э</v>
      </c>
      <c r="K324">
        <f ca="1">IFERROR(__xludf.DUMMYFUNCTION("""COMPUTED_VALUE"""),46720)</f>
        <v>46720</v>
      </c>
      <c r="L324" t="str">
        <f ca="1">IFERROR(__xludf.DUMMYFUNCTION("""COMPUTED_VALUE"""),"КРИВОЙ РОГ")</f>
        <v>КРИВОЙ РОГ</v>
      </c>
      <c r="M324" t="str">
        <f ca="1">IFERROR(__xludf.DUMMYFUNCTION("""COMPUTED_VALUE"""),"11.08.21 23-55")</f>
        <v>11.08.21 23-55</v>
      </c>
      <c r="N324" t="str">
        <f ca="1">IFERROR(__xludf.DUMMYFUNCTION("""COMPUTED_VALUE"""),"98 ОТОТ")</f>
        <v>98 ОТОТ</v>
      </c>
      <c r="O324">
        <f ca="1">IFERROR(__xludf.DUMMYFUNCTION("""COMPUTED_VALUE"""),46720)</f>
        <v>46720</v>
      </c>
      <c r="P324" t="str">
        <f ca="1">IFERROR(__xludf.DUMMYFUNCTION("""COMPUTED_VALUE"""),"КРИВОЙ РОГ")</f>
        <v>КРИВОЙ РОГ</v>
      </c>
      <c r="Q324">
        <f ca="1">IFERROR(__xludf.DUMMYFUNCTION("""COMPUTED_VALUE"""),40050)</f>
        <v>40050</v>
      </c>
      <c r="R324" t="str">
        <f ca="1">IFERROR(__xludf.DUMMYFUNCTION("""COMPUTED_VALUE"""),"БЕРЕГОВАЯ")</f>
        <v>БЕРЕГОВАЯ</v>
      </c>
      <c r="S324" t="str">
        <f ca="1">IFERROR(__xludf.DUMMYFUNCTION("""COMPUTED_VALUE"""),"10.08.21 16-55")</f>
        <v>10.08.21 16-55</v>
      </c>
      <c r="T324">
        <f ca="1">IFERROR(__xludf.DUMMYFUNCTION("""COMPUTED_VALUE"""),8200)</f>
        <v>8200</v>
      </c>
      <c r="U324" t="str">
        <f ca="1">IFERROR(__xludf.DUMMYFUNCTION("""COMPUTED_VALUE"""),"11.12.2022 ДР")</f>
        <v>11.12.2022 ДР</v>
      </c>
      <c r="Z324" t="str">
        <f ca="1">IFERROR(__xludf.DUMMYFUNCTION("""COMPUTED_VALUE"""),"ООО ""КОМПАНИЯ ""ЮТАЛ-ТРАНС""")</f>
        <v>ООО "КОМПАНИЯ "ЮТАЛ-ТРАНС"</v>
      </c>
      <c r="AA324" t="str">
        <f ca="1">IFERROR(__xludf.DUMMYFUNCTION("""COMPUTED_VALUE"""),"12-783")</f>
        <v>12-783</v>
      </c>
      <c r="AB324" t="str">
        <f ca="1">IFERROR(__xludf.DUMMYFUNCTION("""COMPUTED_VALUE"""),"35 ЛЬВ")</f>
        <v>35 ЛЬВ</v>
      </c>
      <c r="AC324" t="str">
        <f ca="1">IFERROR(__xludf.DUMMYFUNCTION("""COMPUTED_VALUE"""),"35250 ИЗОВ")</f>
        <v>35250 ИЗОВ</v>
      </c>
      <c r="AD324" t="str">
        <f ca="1">IFERROR(__xludf.DUMMYFUNCTION("""COMPUTED_VALUE"""),"05.03.21 20-51")</f>
        <v>05.03.21 20-51</v>
      </c>
      <c r="AE324" t="str">
        <f ca="1">IFERROR(__xludf.DUMMYFUNCTION("""COMPUTED_VALUE"""),"226 ТРЕЩИНА ИЛИ OТКOЛ ПOДВИЖНOЙ ПЛAНКИ ТEЛEЖКИ 18-100 ПРОШЕДШЕЙ МО")</f>
        <v>226 ТРЕЩИНА ИЛИ OТКOЛ ПOДВИЖНOЙ ПЛAНКИ ТEЛEЖКИ 18-100 ПРОШЕДШЕЙ МО</v>
      </c>
      <c r="AF324" t="str">
        <f ca="1">IFERROR(__xludf.DUMMYFUNCTION("""COMPUTED_VALUE"""),"35 ЛЬВ")</f>
        <v>35 ЛЬВ</v>
      </c>
      <c r="AG324" t="str">
        <f ca="1">IFERROR(__xludf.DUMMYFUNCTION("""COMPUTED_VALUE"""),"35250 ИЗОВ")</f>
        <v>35250 ИЗОВ</v>
      </c>
      <c r="AH324" t="str">
        <f ca="1">IFERROR(__xludf.DUMMYFUNCTION("""COMPUTED_VALUE"""),"10.03.21 16-10")</f>
        <v>10.03.21 16-10</v>
      </c>
      <c r="AI324" s="21">
        <f ca="1">IFERROR(__xludf.DUMMYFUNCTION("""COMPUTED_VALUE"""),44420.357662037)</f>
        <v>44420.357662037</v>
      </c>
    </row>
    <row r="325" spans="1:35" ht="13" x14ac:dyDescent="0.15">
      <c r="A325">
        <f ca="1">IFERROR(__xludf.DUMMYFUNCTION("""COMPUTED_VALUE"""),1232)</f>
        <v>1232</v>
      </c>
      <c r="B325" t="str">
        <f ca="1">IFERROR(__xludf.DUMMYFUNCTION("""COMPUTED_VALUE"""),"Техрейс")</f>
        <v>Техрейс</v>
      </c>
      <c r="C325" t="str">
        <f ca="1">IFERROR(__xludf.DUMMYFUNCTION("""COMPUTED_VALUE"""),"ЮТАЛ-ТРАНС")</f>
        <v>ЮТАЛ-ТРАНС</v>
      </c>
      <c r="D325">
        <f ca="1">IFERROR(__xludf.DUMMYFUNCTION("""COMPUTED_VALUE"""),56068216)</f>
        <v>56068216</v>
      </c>
      <c r="E325" t="str">
        <f ca="1">IFERROR(__xludf.DUMMYFUNCTION("""COMPUTED_VALUE"""),"60 ПОЛУВАГОНЫ")</f>
        <v>60 ПОЛУВАГОНЫ</v>
      </c>
      <c r="F325">
        <f ca="1">IFERROR(__xludf.DUMMYFUNCTION("""COMPUTED_VALUE"""),48326)</f>
        <v>48326</v>
      </c>
      <c r="G325" t="str">
        <f ca="1">IFERROR(__xludf.DUMMYFUNCTION("""COMPUTED_VALUE"""),"ЖЕЛЕЗА СУЛЬФАТ")</f>
        <v>ЖЕЛЕЗА СУЛЬФАТ</v>
      </c>
      <c r="H325">
        <f ca="1">IFERROR(__xludf.DUMMYFUNCTION("""COMPUTED_VALUE"""),51)</f>
        <v>51</v>
      </c>
      <c r="I325">
        <f ca="1">IFERROR(__xludf.DUMMYFUNCTION("""COMPUTED_VALUE"""),4306)</f>
        <v>4306</v>
      </c>
      <c r="J325" t="str">
        <f ca="1">IFERROR(__xludf.DUMMYFUNCTION("""COMPUTED_VALUE"""),"2542 (44600-447-44020) ТРОСТ-СМОРОД - ОСНОВА")</f>
        <v>2542 (44600-447-44020) ТРОСТ-СМОРОД - ОСНОВА</v>
      </c>
      <c r="K325">
        <f ca="1">IFERROR(__xludf.DUMMYFUNCTION("""COMPUTED_VALUE"""),44960)</f>
        <v>44960</v>
      </c>
      <c r="L325" t="str">
        <f ca="1">IFERROR(__xludf.DUMMYFUNCTION("""COMPUTED_VALUE"""),"ЛЮБОТИН")</f>
        <v>ЛЮБОТИН</v>
      </c>
      <c r="M325" t="str">
        <f ca="1">IFERROR(__xludf.DUMMYFUNCTION("""COMPUTED_VALUE"""),"12.08.21 08-10")</f>
        <v>12.08.21 08-10</v>
      </c>
      <c r="N325" t="str">
        <f ca="1">IFERROR(__xludf.DUMMYFUNCTION("""COMPUTED_VALUE"""),"42 ОТПР")</f>
        <v>42 ОТПР</v>
      </c>
      <c r="O325">
        <f ca="1">IFERROR(__xludf.DUMMYFUNCTION("""COMPUTED_VALUE"""),40510)</f>
        <v>40510</v>
      </c>
      <c r="P325" t="str">
        <f ca="1">IFERROR(__xludf.DUMMYFUNCTION("""COMPUTED_VALUE"""),"ОДЕССА-ЗАС I")</f>
        <v>ОДЕССА-ЗАС I</v>
      </c>
      <c r="Q325">
        <f ca="1">IFERROR(__xludf.DUMMYFUNCTION("""COMPUTED_VALUE"""),44560)</f>
        <v>44560</v>
      </c>
      <c r="R325" t="str">
        <f ca="1">IFERROR(__xludf.DUMMYFUNCTION("""COMPUTED_VALUE"""),"БАСЫ")</f>
        <v>БАСЫ</v>
      </c>
      <c r="S325" t="str">
        <f ca="1">IFERROR(__xludf.DUMMYFUNCTION("""COMPUTED_VALUE"""),"10.08.21 17-00")</f>
        <v>10.08.21 17-00</v>
      </c>
      <c r="T325">
        <f ca="1">IFERROR(__xludf.DUMMYFUNCTION("""COMPUTED_VALUE"""),1673)</f>
        <v>1673</v>
      </c>
      <c r="U325" t="str">
        <f ca="1">IFERROR(__xludf.DUMMYFUNCTION("""COMPUTED_VALUE"""),"22.09.2021 КР")</f>
        <v>22.09.2021 КР</v>
      </c>
      <c r="Z325" t="str">
        <f ca="1">IFERROR(__xludf.DUMMYFUNCTION("""COMPUTED_VALUE"""),"ООО ""КОМПАНИЯ ""ЮТАЛ-ТРАНС""")</f>
        <v>ООО "КОМПАНИЯ "ЮТАЛ-ТРАНС"</v>
      </c>
      <c r="AA325" t="str">
        <f ca="1">IFERROR(__xludf.DUMMYFUNCTION("""COMPUTED_VALUE"""),"12-783")</f>
        <v>12-783</v>
      </c>
      <c r="AB325" t="str">
        <f ca="1">IFERROR(__xludf.DUMMYFUNCTION("""COMPUTED_VALUE"""),"45 ПРИДН")</f>
        <v>45 ПРИДН</v>
      </c>
      <c r="AC325" t="str">
        <f ca="1">IFERROR(__xludf.DUMMYFUNCTION("""COMPUTED_VALUE"""),"46700 КРИВ.РОГ-ГЛА")</f>
        <v>46700 КРИВ.РОГ-ГЛА</v>
      </c>
      <c r="AD325" t="str">
        <f ca="1">IFERROR(__xludf.DUMMYFUNCTION("""COMPUTED_VALUE"""),"01.05.21 20-30")</f>
        <v>01.05.21 20-30</v>
      </c>
      <c r="AE325" t="str">
        <f ca="1">IFERROR(__xludf.DUMMYFUNCTION("""COMPUTED_VALUE"""),"503 OБPЫВ CВAPНOГO ШВA CТOЙКИ")</f>
        <v>503 OБPЫВ CВAPНOГO ШВA CТOЙКИ</v>
      </c>
      <c r="AF325" t="str">
        <f ca="1">IFERROR(__xludf.DUMMYFUNCTION("""COMPUTED_VALUE"""),"45 ПРИДН")</f>
        <v>45 ПРИДН</v>
      </c>
      <c r="AG325" t="str">
        <f ca="1">IFERROR(__xludf.DUMMYFUNCTION("""COMPUTED_VALUE"""),"46700 КРИВ.РОГ-ГЛА")</f>
        <v>46700 КРИВ.РОГ-ГЛА</v>
      </c>
      <c r="AH325" t="str">
        <f ca="1">IFERROR(__xludf.DUMMYFUNCTION("""COMPUTED_VALUE"""),"04.05.21 11-05")</f>
        <v>04.05.21 11-05</v>
      </c>
      <c r="AI325" s="21">
        <f ca="1">IFERROR(__xludf.DUMMYFUNCTION("""COMPUTED_VALUE"""),44420.357662037)</f>
        <v>44420.357662037</v>
      </c>
    </row>
    <row r="326" spans="1:35" ht="13" x14ac:dyDescent="0.15">
      <c r="A326">
        <f ca="1">IFERROR(__xludf.DUMMYFUNCTION("""COMPUTED_VALUE"""),1233)</f>
        <v>1233</v>
      </c>
      <c r="B326" t="str">
        <f ca="1">IFERROR(__xludf.DUMMYFUNCTION("""COMPUTED_VALUE"""),"Техрейс")</f>
        <v>Техрейс</v>
      </c>
      <c r="C326" t="str">
        <f ca="1">IFERROR(__xludf.DUMMYFUNCTION("""COMPUTED_VALUE"""),"ЮТАЛ-ТРАНС")</f>
        <v>ЮТАЛ-ТРАНС</v>
      </c>
      <c r="D326">
        <f ca="1">IFERROR(__xludf.DUMMYFUNCTION("""COMPUTED_VALUE"""),56068307)</f>
        <v>56068307</v>
      </c>
      <c r="E326" t="str">
        <f ca="1">IFERROR(__xludf.DUMMYFUNCTION("""COMPUTED_VALUE"""),"60 ПОЛУВАГОНЫ")</f>
        <v>60 ПОЛУВАГОНЫ</v>
      </c>
      <c r="F326">
        <f ca="1">IFERROR(__xludf.DUMMYFUNCTION("""COMPUTED_VALUE"""),42103)</f>
        <v>42103</v>
      </c>
      <c r="G326" t="str">
        <f ca="1">IFERROR(__xludf.DUMMYFUNCTION("""COMPUTED_VALUE"""),"ВАГОНЫ ЖД СВ")</f>
        <v>ВАГОНЫ ЖД СВ</v>
      </c>
      <c r="H326">
        <f ca="1">IFERROR(__xludf.DUMMYFUNCTION("""COMPUTED_VALUE"""),0)</f>
        <v>0</v>
      </c>
      <c r="I326">
        <f ca="1">IFERROR(__xludf.DUMMYFUNCTION("""COMPUTED_VALUE"""),5343)</f>
        <v>5343</v>
      </c>
      <c r="J326" t="str">
        <f ca="1">IFERROR(__xludf.DUMMYFUNCTION("""COMPUTED_VALUE"""),"2124 (40050-051-46720) БЕРЕГОВАЯ - КРИВОЙ РОГ")</f>
        <v>2124 (40050-051-46720) БЕРЕГОВАЯ - КРИВОЙ РОГ</v>
      </c>
      <c r="K326">
        <f ca="1">IFERROR(__xludf.DUMMYFUNCTION("""COMPUTED_VALUE"""),46720)</f>
        <v>46720</v>
      </c>
      <c r="L326" t="str">
        <f ca="1">IFERROR(__xludf.DUMMYFUNCTION("""COMPUTED_VALUE"""),"КРИВОЙ РОГ")</f>
        <v>КРИВОЙ РОГ</v>
      </c>
      <c r="M326" t="str">
        <f ca="1">IFERROR(__xludf.DUMMYFUNCTION("""COMPUTED_VALUE"""),"12.08.21 03-45")</f>
        <v>12.08.21 03-45</v>
      </c>
      <c r="N326" t="str">
        <f ca="1">IFERROR(__xludf.DUMMYFUNCTION("""COMPUTED_VALUE"""),"98 ОТОТ")</f>
        <v>98 ОТОТ</v>
      </c>
      <c r="O326">
        <f ca="1">IFERROR(__xludf.DUMMYFUNCTION("""COMPUTED_VALUE"""),46720)</f>
        <v>46720</v>
      </c>
      <c r="P326" t="str">
        <f ca="1">IFERROR(__xludf.DUMMYFUNCTION("""COMPUTED_VALUE"""),"КРИВОЙ РОГ")</f>
        <v>КРИВОЙ РОГ</v>
      </c>
      <c r="Q326">
        <f ca="1">IFERROR(__xludf.DUMMYFUNCTION("""COMPUTED_VALUE"""),40050)</f>
        <v>40050</v>
      </c>
      <c r="R326" t="str">
        <f ca="1">IFERROR(__xludf.DUMMYFUNCTION("""COMPUTED_VALUE"""),"БЕРЕГОВАЯ")</f>
        <v>БЕРЕГОВАЯ</v>
      </c>
      <c r="S326" t="str">
        <f ca="1">IFERROR(__xludf.DUMMYFUNCTION("""COMPUTED_VALUE"""),"09.08.21 15-35")</f>
        <v>09.08.21 15-35</v>
      </c>
      <c r="T326">
        <f ca="1">IFERROR(__xludf.DUMMYFUNCTION("""COMPUTED_VALUE"""),8200)</f>
        <v>8200</v>
      </c>
      <c r="U326" t="str">
        <f ca="1">IFERROR(__xludf.DUMMYFUNCTION("""COMPUTED_VALUE"""),"28.07.2023 ДР")</f>
        <v>28.07.2023 ДР</v>
      </c>
      <c r="Z326" t="str">
        <f ca="1">IFERROR(__xludf.DUMMYFUNCTION("""COMPUTED_VALUE"""),"ООО ""КОМПАНИЯ ""ЮТАЛ-ТРАНС""")</f>
        <v>ООО "КОМПАНИЯ "ЮТАЛ-ТРАНС"</v>
      </c>
      <c r="AA326" t="str">
        <f ca="1">IFERROR(__xludf.DUMMYFUNCTION("""COMPUTED_VALUE"""),"12-783")</f>
        <v>12-783</v>
      </c>
      <c r="AB326" t="str">
        <f ca="1">IFERROR(__xludf.DUMMYFUNCTION("""COMPUTED_VALUE"""),"45 ПРИДН")</f>
        <v>45 ПРИДН</v>
      </c>
      <c r="AC326" t="str">
        <f ca="1">IFERROR(__xludf.DUMMYFUNCTION("""COMPUTED_VALUE"""),"46720 КРИВОЙ РОГ")</f>
        <v>46720 КРИВОЙ РОГ</v>
      </c>
      <c r="AD326" t="str">
        <f ca="1">IFERROR(__xludf.DUMMYFUNCTION("""COMPUTED_VALUE"""),"10.08.21 10-30")</f>
        <v>10.08.21 10-30</v>
      </c>
      <c r="AE326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26" t="str">
        <f ca="1">IFERROR(__xludf.DUMMYFUNCTION("""COMPUTED_VALUE"""),"45 ПРИДН")</f>
        <v>45 ПРИДН</v>
      </c>
      <c r="AG326" t="str">
        <f ca="1">IFERROR(__xludf.DUMMYFUNCTION("""COMPUTED_VALUE"""),"46720 КРИВОЙ РОГ")</f>
        <v>46720 КРИВОЙ РОГ</v>
      </c>
      <c r="AH326" t="str">
        <f ca="1">IFERROR(__xludf.DUMMYFUNCTION("""COMPUTED_VALUE"""),"11.08.21 13-30")</f>
        <v>11.08.21 13-30</v>
      </c>
      <c r="AI326" s="21">
        <f ca="1">IFERROR(__xludf.DUMMYFUNCTION("""COMPUTED_VALUE"""),44420.357662037)</f>
        <v>44420.357662037</v>
      </c>
    </row>
    <row r="327" spans="1:35" ht="13" x14ac:dyDescent="0.15">
      <c r="A327">
        <f ca="1">IFERROR(__xludf.DUMMYFUNCTION("""COMPUTED_VALUE"""),1234)</f>
        <v>1234</v>
      </c>
      <c r="B327" t="str">
        <f ca="1">IFERROR(__xludf.DUMMYFUNCTION("""COMPUTED_VALUE"""),"Подольский цемент")</f>
        <v>Подольский цемент</v>
      </c>
      <c r="C327" t="str">
        <f ca="1">IFERROR(__xludf.DUMMYFUNCTION("""COMPUTED_VALUE"""),"ЮТАЛ-ТРАНС")</f>
        <v>ЮТАЛ-ТРАНС</v>
      </c>
      <c r="D327">
        <f ca="1">IFERROR(__xludf.DUMMYFUNCTION("""COMPUTED_VALUE"""),56068323)</f>
        <v>56068323</v>
      </c>
      <c r="E327" t="str">
        <f ca="1">IFERROR(__xludf.DUMMYFUNCTION("""COMPUTED_VALUE"""),"60 ПОЛУВАГОНЫ")</f>
        <v>60 ПОЛУВАГОНЫ</v>
      </c>
      <c r="F327">
        <f ca="1">IFERROR(__xludf.DUMMYFUNCTION("""COMPUTED_VALUE"""),24500)</f>
        <v>24500</v>
      </c>
      <c r="G327" t="str">
        <f ca="1">IFERROR(__xludf.DUMMYFUNCTION("""COMPUTED_VALUE"""),"КЛИНКЕР ЦЕМЕНТ")</f>
        <v>КЛИНКЕР ЦЕМЕНТ</v>
      </c>
      <c r="H327">
        <f ca="1">IFERROR(__xludf.DUMMYFUNCTION("""COMPUTED_VALUE"""),69)</f>
        <v>69</v>
      </c>
      <c r="I327">
        <f ca="1">IFERROR(__xludf.DUMMYFUNCTION("""COMPUTED_VALUE"""),1489)</f>
        <v>1489</v>
      </c>
      <c r="J327" t="str">
        <f ca="1">IFERROR(__xludf.DUMMYFUNCTION("""COMPUTED_VALUE"""),"3106 (33300-024-37780) ГУМЕНЦЫ - НИКОЛАЕВ-ДН")</f>
        <v>3106 (33300-024-37780) ГУМЕНЦЫ - НИКОЛАЕВ-ДН</v>
      </c>
      <c r="K327">
        <f ca="1">IFERROR(__xludf.DUMMYFUNCTION("""COMPUTED_VALUE"""),33300)</f>
        <v>33300</v>
      </c>
      <c r="L327" t="str">
        <f ca="1">IFERROR(__xludf.DUMMYFUNCTION("""COMPUTED_VALUE"""),"ГУМЕНЦЫ")</f>
        <v>ГУМЕНЦЫ</v>
      </c>
      <c r="M327" t="str">
        <f ca="1">IFERROR(__xludf.DUMMYFUNCTION("""COMPUTED_VALUE"""),"12.08.21 01-50")</f>
        <v>12.08.21 01-50</v>
      </c>
      <c r="N327" t="str">
        <f ca="1">IFERROR(__xludf.DUMMYFUNCTION("""COMPUTED_VALUE"""),"97 ОКОТ")</f>
        <v>97 ОКОТ</v>
      </c>
      <c r="O327">
        <f ca="1">IFERROR(__xludf.DUMMYFUNCTION("""COMPUTED_VALUE"""),37780)</f>
        <v>37780</v>
      </c>
      <c r="P327" t="str">
        <f ca="1">IFERROR(__xludf.DUMMYFUNCTION("""COMPUTED_VALUE"""),"НИКОЛАЕВ-ДН")</f>
        <v>НИКОЛАЕВ-ДН</v>
      </c>
      <c r="Q327">
        <f ca="1">IFERROR(__xludf.DUMMYFUNCTION("""COMPUTED_VALUE"""),33300)</f>
        <v>33300</v>
      </c>
      <c r="R327" t="str">
        <f ca="1">IFERROR(__xludf.DUMMYFUNCTION("""COMPUTED_VALUE"""),"ГУМЕНЦЫ")</f>
        <v>ГУМЕНЦЫ</v>
      </c>
      <c r="S327" t="str">
        <f ca="1">IFERROR(__xludf.DUMMYFUNCTION("""COMPUTED_VALUE"""),"12.08.21 01-50")</f>
        <v>12.08.21 01-50</v>
      </c>
      <c r="T327">
        <f ca="1">IFERROR(__xludf.DUMMYFUNCTION("""COMPUTED_VALUE"""),5268)</f>
        <v>5268</v>
      </c>
      <c r="U327" t="str">
        <f ca="1">IFERROR(__xludf.DUMMYFUNCTION("""COMPUTED_VALUE"""),"23.09.2023 ДР")</f>
        <v>23.09.2023 ДР</v>
      </c>
      <c r="Z327" t="str">
        <f ca="1">IFERROR(__xludf.DUMMYFUNCTION("""COMPUTED_VALUE"""),"ООО ""КОМПАНИЯ ""ЮТАЛ-ТРАНС""")</f>
        <v>ООО "КОМПАНИЯ "ЮТАЛ-ТРАНС"</v>
      </c>
      <c r="AA327" t="str">
        <f ca="1">IFERROR(__xludf.DUMMYFUNCTION("""COMPUTED_VALUE"""),"12-783")</f>
        <v>12-783</v>
      </c>
      <c r="AB327" t="str">
        <f ca="1">IFERROR(__xludf.DUMMYFUNCTION("""COMPUTED_VALUE"""),"45 ПРИДН")</f>
        <v>45 ПРИДН</v>
      </c>
      <c r="AC327" t="str">
        <f ca="1">IFERROR(__xludf.DUMMYFUNCTION("""COMPUTED_VALUE"""),"46720 КРИВОЙ РОГ")</f>
        <v>46720 КРИВОЙ РОГ</v>
      </c>
      <c r="AD327" t="str">
        <f ca="1">IFERROR(__xludf.DUMMYFUNCTION("""COMPUTED_VALUE"""),"08.11.20 21-20")</f>
        <v>08.11.20 21-20</v>
      </c>
      <c r="AE327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27" t="str">
        <f ca="1">IFERROR(__xludf.DUMMYFUNCTION("""COMPUTED_VALUE"""),"45 ПРИДН")</f>
        <v>45 ПРИДН</v>
      </c>
      <c r="AG327" t="str">
        <f ca="1">IFERROR(__xludf.DUMMYFUNCTION("""COMPUTED_VALUE"""),"46720 КРИВОЙ РОГ")</f>
        <v>46720 КРИВОЙ РОГ</v>
      </c>
      <c r="AH327" t="str">
        <f ca="1">IFERROR(__xludf.DUMMYFUNCTION("""COMPUTED_VALUE"""),"11.11.20 06-00")</f>
        <v>11.11.20 06-00</v>
      </c>
      <c r="AI327" s="21">
        <f ca="1">IFERROR(__xludf.DUMMYFUNCTION("""COMPUTED_VALUE"""),44420.357662037)</f>
        <v>44420.357662037</v>
      </c>
    </row>
    <row r="328" spans="1:35" ht="13" x14ac:dyDescent="0.15">
      <c r="A328">
        <f ca="1">IFERROR(__xludf.DUMMYFUNCTION("""COMPUTED_VALUE"""),1235)</f>
        <v>1235</v>
      </c>
      <c r="B328" t="str">
        <f ca="1">IFERROR(__xludf.DUMMYFUNCTION("""COMPUTED_VALUE"""),"Техрейс")</f>
        <v>Техрейс</v>
      </c>
      <c r="C328" t="str">
        <f ca="1">IFERROR(__xludf.DUMMYFUNCTION("""COMPUTED_VALUE"""),"ЮТАЛ-ТРАНС")</f>
        <v>ЮТАЛ-ТРАНС</v>
      </c>
      <c r="D328">
        <f ca="1">IFERROR(__xludf.DUMMYFUNCTION("""COMPUTED_VALUE"""),56068364)</f>
        <v>56068364</v>
      </c>
      <c r="E328" t="str">
        <f ca="1">IFERROR(__xludf.DUMMYFUNCTION("""COMPUTED_VALUE"""),"60 ПОЛУВАГОНЫ")</f>
        <v>60 ПОЛУВАГОНЫ</v>
      </c>
      <c r="F328">
        <f ca="1">IFERROR(__xludf.DUMMYFUNCTION("""COMPUTED_VALUE"""),8113)</f>
        <v>8113</v>
      </c>
      <c r="G328" t="str">
        <f ca="1">IFERROR(__xludf.DUMMYFUNCTION("""COMPUTED_VALUE"""),"ЛЕСМАТ КРУГ ПР")</f>
        <v>ЛЕСМАТ КРУГ ПР</v>
      </c>
      <c r="H328">
        <f ca="1">IFERROR(__xludf.DUMMYFUNCTION("""COMPUTED_VALUE"""),64)</f>
        <v>64</v>
      </c>
      <c r="I328">
        <f ca="1">IFERROR(__xludf.DUMMYFUNCTION("""COMPUTED_VALUE"""),5068)</f>
        <v>5068</v>
      </c>
      <c r="J328" t="str">
        <f ca="1">IFERROR(__xludf.DUMMYFUNCTION("""COMPUTED_VALUE"""),"5555 (46000-763-00040) ЗАПОРОЖ-ЛЕВ -")</f>
        <v>5555 (46000-763-00040) ЗАПОРОЖ-ЛЕВ -</v>
      </c>
      <c r="K328">
        <f ca="1">IFERROR(__xludf.DUMMYFUNCTION("""COMPUTED_VALUE"""),46000)</f>
        <v>46000</v>
      </c>
      <c r="L328" t="str">
        <f ca="1">IFERROR(__xludf.DUMMYFUNCTION("""COMPUTED_VALUE"""),"ЗАПОРОЖ-ЛЕВ")</f>
        <v>ЗАПОРОЖ-ЛЕВ</v>
      </c>
      <c r="M328" t="str">
        <f ca="1">IFERROR(__xludf.DUMMYFUNCTION("""COMPUTED_VALUE"""),"10.08.21 13-15")</f>
        <v>10.08.21 13-15</v>
      </c>
      <c r="N328" t="str">
        <f ca="1">IFERROR(__xludf.DUMMYFUNCTION("""COMPUTED_VALUE"""),"21 ВЫГ2")</f>
        <v>21 ВЫГ2</v>
      </c>
      <c r="O328">
        <f ca="1">IFERROR(__xludf.DUMMYFUNCTION("""COMPUTED_VALUE"""),46000)</f>
        <v>46000</v>
      </c>
      <c r="P328" t="str">
        <f ca="1">IFERROR(__xludf.DUMMYFUNCTION("""COMPUTED_VALUE"""),"ЗАПОРОЖ-ЛЕВ")</f>
        <v>ЗАПОРОЖ-ЛЕВ</v>
      </c>
      <c r="Q328">
        <f ca="1">IFERROR(__xludf.DUMMYFUNCTION("""COMPUTED_VALUE"""),32870)</f>
        <v>32870</v>
      </c>
      <c r="R328" t="str">
        <f ca="1">IFERROR(__xludf.DUMMYFUNCTION("""COMPUTED_VALUE"""),"ХУТОР-МИХАЙЛ")</f>
        <v>ХУТОР-МИХАЙЛ</v>
      </c>
      <c r="S328" t="str">
        <f ca="1">IFERROR(__xludf.DUMMYFUNCTION("""COMPUTED_VALUE"""),"03.08.21 18-45")</f>
        <v>03.08.21 18-45</v>
      </c>
      <c r="U328" t="str">
        <f ca="1">IFERROR(__xludf.DUMMYFUNCTION("""COMPUTED_VALUE"""),"12.11.2023 ДР")</f>
        <v>12.11.2023 ДР</v>
      </c>
      <c r="Z328" t="str">
        <f ca="1">IFERROR(__xludf.DUMMYFUNCTION("""COMPUTED_VALUE"""),"ООО ""КОМПАНИЯ ""ЮТАЛ-ТРАНС""")</f>
        <v>ООО "КОМПАНИЯ "ЮТАЛ-ТРАНС"</v>
      </c>
      <c r="AA328" t="str">
        <f ca="1">IFERROR(__xludf.DUMMYFUNCTION("""COMPUTED_VALUE"""),"12-783")</f>
        <v>12-783</v>
      </c>
      <c r="AB328" t="str">
        <f ca="1">IFERROR(__xludf.DUMMYFUNCTION("""COMPUTED_VALUE"""),"32 Ю-ЗАП")</f>
        <v>32 Ю-ЗАП</v>
      </c>
      <c r="AC328" t="str">
        <f ca="1">IFERROR(__xludf.DUMMYFUNCTION("""COMPUTED_VALUE"""),"32000 ДАРНИЦА")</f>
        <v>32000 ДАРНИЦА</v>
      </c>
      <c r="AD328" t="str">
        <f ca="1">IFERROR(__xludf.DUMMYFUNCTION("""COMPUTED_VALUE"""),"19.07.21 15-54")</f>
        <v>19.07.21 15-54</v>
      </c>
      <c r="AE328" t="str">
        <f ca="1">IFERROR(__xludf.DUMMYFUNCTION("""COMPUTED_VALUE"""),"100")</f>
        <v>100</v>
      </c>
      <c r="AF328" t="str">
        <f ca="1">IFERROR(__xludf.DUMMYFUNCTION("""COMPUTED_VALUE"""),"32 Ю-ЗАП")</f>
        <v>32 Ю-ЗАП</v>
      </c>
      <c r="AG328" t="str">
        <f ca="1">IFERROR(__xludf.DUMMYFUNCTION("""COMPUTED_VALUE"""),"32000 ДАРНИЦА")</f>
        <v>32000 ДАРНИЦА</v>
      </c>
      <c r="AH328" t="str">
        <f ca="1">IFERROR(__xludf.DUMMYFUNCTION("""COMPUTED_VALUE"""),"25.07.21 11-03")</f>
        <v>25.07.21 11-03</v>
      </c>
      <c r="AI328" s="21">
        <f ca="1">IFERROR(__xludf.DUMMYFUNCTION("""COMPUTED_VALUE"""),44420.357662037)</f>
        <v>44420.357662037</v>
      </c>
    </row>
    <row r="329" spans="1:35" ht="13" x14ac:dyDescent="0.15">
      <c r="A329">
        <f ca="1">IFERROR(__xludf.DUMMYFUNCTION("""COMPUTED_VALUE"""),1236)</f>
        <v>1236</v>
      </c>
      <c r="B329" t="str">
        <f ca="1">IFERROR(__xludf.DUMMYFUNCTION("""COMPUTED_VALUE"""),"Техрейс")</f>
        <v>Техрейс</v>
      </c>
      <c r="C329" t="str">
        <f ca="1">IFERROR(__xludf.DUMMYFUNCTION("""COMPUTED_VALUE"""),"ЮТАЛ-ТРАНС")</f>
        <v>ЮТАЛ-ТРАНС</v>
      </c>
      <c r="D329">
        <f ca="1">IFERROR(__xludf.DUMMYFUNCTION("""COMPUTED_VALUE"""),56068414)</f>
        <v>56068414</v>
      </c>
      <c r="E329" t="str">
        <f ca="1">IFERROR(__xludf.DUMMYFUNCTION("""COMPUTED_VALUE"""),"60 ПОЛУВАГОНЫ")</f>
        <v>60 ПОЛУВАГОНЫ</v>
      </c>
      <c r="F329">
        <f ca="1">IFERROR(__xludf.DUMMYFUNCTION("""COMPUTED_VALUE"""),14109)</f>
        <v>14109</v>
      </c>
      <c r="G329" t="str">
        <f ca="1">IFERROR(__xludf.DUMMYFUNCTION("""COMPUTED_VALUE"""),"ГЕМАТИТ")</f>
        <v>ГЕМАТИТ</v>
      </c>
      <c r="H329">
        <f ca="1">IFERROR(__xludf.DUMMYFUNCTION("""COMPUTED_VALUE"""),70)</f>
        <v>70</v>
      </c>
      <c r="I329">
        <f ca="1">IFERROR(__xludf.DUMMYFUNCTION("""COMPUTED_VALUE"""),5786)</f>
        <v>5786</v>
      </c>
      <c r="J329" t="str">
        <f ca="1">IFERROR(__xludf.DUMMYFUNCTION("""COMPUTED_VALUE"""),"3501 (46720-466-40060) КРИВОЙ РОГ - БЕРЕГОВАЯ-Э")</f>
        <v>3501 (46720-466-40060) КРИВОЙ РОГ - БЕРЕГОВАЯ-Э</v>
      </c>
      <c r="K329">
        <f ca="1">IFERROR(__xludf.DUMMYFUNCTION("""COMPUTED_VALUE"""),46720)</f>
        <v>46720</v>
      </c>
      <c r="L329" t="str">
        <f ca="1">IFERROR(__xludf.DUMMYFUNCTION("""COMPUTED_VALUE"""),"КРИВОЙ РОГ")</f>
        <v>КРИВОЙ РОГ</v>
      </c>
      <c r="M329" t="str">
        <f ca="1">IFERROR(__xludf.DUMMYFUNCTION("""COMPUTED_VALUE"""),"12.08.21 05-08")</f>
        <v>12.08.21 05-08</v>
      </c>
      <c r="N329" t="str">
        <f ca="1">IFERROR(__xludf.DUMMYFUNCTION("""COMPUTED_VALUE"""),"05 ФОРМ")</f>
        <v>05 ФОРМ</v>
      </c>
      <c r="O329">
        <f ca="1">IFERROR(__xludf.DUMMYFUNCTION("""COMPUTED_VALUE"""),40060)</f>
        <v>40060</v>
      </c>
      <c r="P329" t="str">
        <f ca="1">IFERROR(__xludf.DUMMYFUNCTION("""COMPUTED_VALUE"""),"БЕРЕГОВАЯ-Э")</f>
        <v>БЕРЕГОВАЯ-Э</v>
      </c>
      <c r="Q329">
        <f ca="1">IFERROR(__xludf.DUMMYFUNCTION("""COMPUTED_VALUE"""),46720)</f>
        <v>46720</v>
      </c>
      <c r="R329" t="str">
        <f ca="1">IFERROR(__xludf.DUMMYFUNCTION("""COMPUTED_VALUE"""),"КРИВОЙ РОГ")</f>
        <v>КРИВОЙ РОГ</v>
      </c>
      <c r="S329" t="str">
        <f ca="1">IFERROR(__xludf.DUMMYFUNCTION("""COMPUTED_VALUE"""),"12.08.21 04-40")</f>
        <v>12.08.21 04-40</v>
      </c>
      <c r="T329">
        <f ca="1">IFERROR(__xludf.DUMMYFUNCTION("""COMPUTED_VALUE"""),5343)</f>
        <v>5343</v>
      </c>
      <c r="U329" t="str">
        <f ca="1">IFERROR(__xludf.DUMMYFUNCTION("""COMPUTED_VALUE"""),"05.12.2022 ДР")</f>
        <v>05.12.2022 ДР</v>
      </c>
      <c r="Z329" t="str">
        <f ca="1">IFERROR(__xludf.DUMMYFUNCTION("""COMPUTED_VALUE"""),"ООО ""КОМПАНИЯ ""ЮТАЛ-ТРАНС""")</f>
        <v>ООО "КОМПАНИЯ "ЮТАЛ-ТРАНС"</v>
      </c>
      <c r="AA329" t="str">
        <f ca="1">IFERROR(__xludf.DUMMYFUNCTION("""COMPUTED_VALUE"""),"12-783")</f>
        <v>12-783</v>
      </c>
      <c r="AB329" t="str">
        <f ca="1">IFERROR(__xludf.DUMMYFUNCTION("""COMPUTED_VALUE"""),"45 ПРИДН")</f>
        <v>45 ПРИДН</v>
      </c>
      <c r="AC329" t="str">
        <f ca="1">IFERROR(__xludf.DUMMYFUNCTION("""COMPUTED_VALUE"""),"46720 КРИВОЙ РОГ")</f>
        <v>46720 КРИВОЙ РОГ</v>
      </c>
      <c r="AD329" t="str">
        <f ca="1">IFERROR(__xludf.DUMMYFUNCTION("""COMPUTED_VALUE"""),"09.08.21 03-35")</f>
        <v>09.08.21 03-35</v>
      </c>
      <c r="AE329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29" t="str">
        <f ca="1">IFERROR(__xludf.DUMMYFUNCTION("""COMPUTED_VALUE"""),"45 ПРИДН")</f>
        <v>45 ПРИДН</v>
      </c>
      <c r="AG329" t="str">
        <f ca="1">IFERROR(__xludf.DUMMYFUNCTION("""COMPUTED_VALUE"""),"46720 КРИВОЙ РОГ")</f>
        <v>46720 КРИВОЙ РОГ</v>
      </c>
      <c r="AH329" t="str">
        <f ca="1">IFERROR(__xludf.DUMMYFUNCTION("""COMPUTED_VALUE"""),"10.08.21 18-00")</f>
        <v>10.08.21 18-00</v>
      </c>
      <c r="AI329" s="21">
        <f ca="1">IFERROR(__xludf.DUMMYFUNCTION("""COMPUTED_VALUE"""),44420.357662037)</f>
        <v>44420.357662037</v>
      </c>
    </row>
    <row r="330" spans="1:35" ht="13" x14ac:dyDescent="0.15">
      <c r="A330">
        <f ca="1">IFERROR(__xludf.DUMMYFUNCTION("""COMPUTED_VALUE"""),1237)</f>
        <v>1237</v>
      </c>
      <c r="B330" t="str">
        <f ca="1">IFERROR(__xludf.DUMMYFUNCTION("""COMPUTED_VALUE"""),"Техрейс")</f>
        <v>Техрейс</v>
      </c>
      <c r="C330" t="str">
        <f ca="1">IFERROR(__xludf.DUMMYFUNCTION("""COMPUTED_VALUE"""),"ЮТАЛ-ТРАНС")</f>
        <v>ЮТАЛ-ТРАНС</v>
      </c>
      <c r="D330">
        <f ca="1">IFERROR(__xludf.DUMMYFUNCTION("""COMPUTED_VALUE"""),56068455)</f>
        <v>56068455</v>
      </c>
      <c r="E330" t="str">
        <f ca="1">IFERROR(__xludf.DUMMYFUNCTION("""COMPUTED_VALUE"""),"60 ПОЛУВАГОНЫ")</f>
        <v>60 ПОЛУВАГОНЫ</v>
      </c>
      <c r="F330">
        <f ca="1">IFERROR(__xludf.DUMMYFUNCTION("""COMPUTED_VALUE"""),17110)</f>
        <v>17110</v>
      </c>
      <c r="G330" t="str">
        <f ca="1">IFERROR(__xludf.DUMMYFUNCTION("""COMPUTED_VALUE"""),"МЕЛОЧЬ КОКСОВ")</f>
        <v>МЕЛОЧЬ КОКСОВ</v>
      </c>
      <c r="H330">
        <f ca="1">IFERROR(__xludf.DUMMYFUNCTION("""COMPUTED_VALUE"""),48)</f>
        <v>48</v>
      </c>
      <c r="I330">
        <f ca="1">IFERROR(__xludf.DUMMYFUNCTION("""COMPUTED_VALUE"""),3134)</f>
        <v>3134</v>
      </c>
      <c r="J330" t="str">
        <f ca="1">IFERROR(__xludf.DUMMYFUNCTION("""COMPUTED_VALUE"""),"2657 (46000-082-48620) ЗАПОРОЖ-ЛЕВ - ВОЛНОВАХА")</f>
        <v>2657 (46000-082-48620) ЗАПОРОЖ-ЛЕВ - ВОЛНОВАХА</v>
      </c>
      <c r="K330">
        <f ca="1">IFERROR(__xludf.DUMMYFUNCTION("""COMPUTED_VALUE"""),46000)</f>
        <v>46000</v>
      </c>
      <c r="L330" t="str">
        <f ca="1">IFERROR(__xludf.DUMMYFUNCTION("""COMPUTED_VALUE"""),"ЗАПОРОЖ-ЛЕВ")</f>
        <v>ЗАПОРОЖ-ЛЕВ</v>
      </c>
      <c r="M330" t="str">
        <f ca="1">IFERROR(__xludf.DUMMYFUNCTION("""COMPUTED_VALUE"""),"11.08.21 18-43")</f>
        <v>11.08.21 18-43</v>
      </c>
      <c r="N330" t="str">
        <f ca="1">IFERROR(__xludf.DUMMYFUNCTION("""COMPUTED_VALUE"""),"85 ПРСТ")</f>
        <v>85 ПРСТ</v>
      </c>
      <c r="O330">
        <f ca="1">IFERROR(__xludf.DUMMYFUNCTION("""COMPUTED_VALUE"""),48500)</f>
        <v>48500</v>
      </c>
      <c r="P330" t="str">
        <f ca="1">IFERROR(__xludf.DUMMYFUNCTION("""COMPUTED_VALUE"""),"АСЛАНОВО")</f>
        <v>АСЛАНОВО</v>
      </c>
      <c r="Q330">
        <f ca="1">IFERROR(__xludf.DUMMYFUNCTION("""COMPUTED_VALUE"""),46720)</f>
        <v>46720</v>
      </c>
      <c r="R330" t="str">
        <f ca="1">IFERROR(__xludf.DUMMYFUNCTION("""COMPUTED_VALUE"""),"КРИВОЙ РОГ")</f>
        <v>КРИВОЙ РОГ</v>
      </c>
      <c r="S330" t="str">
        <f ca="1">IFERROR(__xludf.DUMMYFUNCTION("""COMPUTED_VALUE"""),"10.08.21 18-30")</f>
        <v>10.08.21 18-30</v>
      </c>
      <c r="T330">
        <f ca="1">IFERROR(__xludf.DUMMYFUNCTION("""COMPUTED_VALUE"""),5343)</f>
        <v>5343</v>
      </c>
      <c r="U330" t="str">
        <f ca="1">IFERROR(__xludf.DUMMYFUNCTION("""COMPUTED_VALUE"""),"22.10.2023 ДР")</f>
        <v>22.10.2023 ДР</v>
      </c>
      <c r="Z330" t="str">
        <f ca="1">IFERROR(__xludf.DUMMYFUNCTION("""COMPUTED_VALUE"""),"ООО ""КОМПАНИЯ ""ЮТАЛ-ТРАНС""")</f>
        <v>ООО "КОМПАНИЯ "ЮТАЛ-ТРАНС"</v>
      </c>
      <c r="AA330" t="str">
        <f ca="1">IFERROR(__xludf.DUMMYFUNCTION("""COMPUTED_VALUE"""),"12-783")</f>
        <v>12-783</v>
      </c>
      <c r="AB330" t="str">
        <f ca="1">IFERROR(__xludf.DUMMYFUNCTION("""COMPUTED_VALUE"""),"32 Ю-ЗАП")</f>
        <v>32 Ю-ЗАП</v>
      </c>
      <c r="AC330" t="str">
        <f ca="1">IFERROR(__xludf.DUMMYFUNCTION("""COMPUTED_VALUE"""),"33000 ЖМЕРИНКА")</f>
        <v>33000 ЖМЕРИНКА</v>
      </c>
      <c r="AD330" t="str">
        <f ca="1">IFERROR(__xludf.DUMMYFUNCTION("""COMPUTED_VALUE"""),"30.09.20 13-47")</f>
        <v>30.09.20 13-47</v>
      </c>
      <c r="AE330" t="str">
        <f ca="1">IFERROR(__xludf.DUMMYFUNCTION("""COMPUTED_VALUE"""),"571 ИCТEК КAЛЕНДАРНЫЙ CPOК КAПИТAЛЬНОГО PEМOНТA")</f>
        <v>571 ИCТEК КAЛЕНДАРНЫЙ CPOК КAПИТAЛЬНОГО PEМOНТA</v>
      </c>
      <c r="AF330" t="str">
        <f ca="1">IFERROR(__xludf.DUMMYFUNCTION("""COMPUTED_VALUE"""),"32 Ю-ЗАП")</f>
        <v>32 Ю-ЗАП</v>
      </c>
      <c r="AG330" t="str">
        <f ca="1">IFERROR(__xludf.DUMMYFUNCTION("""COMPUTED_VALUE"""),"33000 ЖМЕРИНКА")</f>
        <v>33000 ЖМЕРИНКА</v>
      </c>
      <c r="AH330" t="str">
        <f ca="1">IFERROR(__xludf.DUMMYFUNCTION("""COMPUTED_VALUE"""),"22.10.20 13-32")</f>
        <v>22.10.20 13-32</v>
      </c>
      <c r="AI330" s="21">
        <f ca="1">IFERROR(__xludf.DUMMYFUNCTION("""COMPUTED_VALUE"""),44420.357662037)</f>
        <v>44420.357662037</v>
      </c>
    </row>
    <row r="331" spans="1:35" ht="13" x14ac:dyDescent="0.15">
      <c r="A331">
        <f ca="1">IFERROR(__xludf.DUMMYFUNCTION("""COMPUTED_VALUE"""),1238)</f>
        <v>1238</v>
      </c>
      <c r="B331" t="str">
        <f ca="1">IFERROR(__xludf.DUMMYFUNCTION("""COMPUTED_VALUE"""),"Техрейс")</f>
        <v>Техрейс</v>
      </c>
      <c r="C331" t="str">
        <f ca="1">IFERROR(__xludf.DUMMYFUNCTION("""COMPUTED_VALUE"""),"ЮТАЛ-ТРАНС")</f>
        <v>ЮТАЛ-ТРАНС</v>
      </c>
      <c r="D331">
        <f ca="1">IFERROR(__xludf.DUMMYFUNCTION("""COMPUTED_VALUE"""),56104623)</f>
        <v>56104623</v>
      </c>
      <c r="E331" t="str">
        <f ca="1">IFERROR(__xludf.DUMMYFUNCTION("""COMPUTED_VALUE"""),"60 ПОЛУВАГОНЫ")</f>
        <v>60 ПОЛУВАГОНЫ</v>
      </c>
      <c r="F331">
        <f ca="1">IFERROR(__xludf.DUMMYFUNCTION("""COMPUTED_VALUE"""),43604)</f>
        <v>43604</v>
      </c>
      <c r="G331" t="str">
        <f ca="1">IFERROR(__xludf.DUMMYFUNCTION("""COMPUTED_VALUE"""),"ДИАММОФОС")</f>
        <v>ДИАММОФОС</v>
      </c>
      <c r="H331">
        <f ca="1">IFERROR(__xludf.DUMMYFUNCTION("""COMPUTED_VALUE"""),68)</f>
        <v>68</v>
      </c>
      <c r="I331">
        <f ca="1">IFERROR(__xludf.DUMMYFUNCTION("""COMPUTED_VALUE"""),2154)</f>
        <v>2154</v>
      </c>
      <c r="J331" t="str">
        <f ca="1">IFERROR(__xludf.DUMMYFUNCTION("""COMPUTED_VALUE"""),"3560 (46710-424-46690) КРИВ.РОГ-СОР - БАТУРИНСКАЯ")</f>
        <v>3560 (46710-424-46690) КРИВ.РОГ-СОР - БАТУРИНСКАЯ</v>
      </c>
      <c r="K331">
        <f ca="1">IFERROR(__xludf.DUMMYFUNCTION("""COMPUTED_VALUE"""),46680)</f>
        <v>46680</v>
      </c>
      <c r="L331" t="str">
        <f ca="1">IFERROR(__xludf.DUMMYFUNCTION("""COMPUTED_VALUE"""),"РАДУШНАЯ")</f>
        <v>РАДУШНАЯ</v>
      </c>
      <c r="M331" t="str">
        <f ca="1">IFERROR(__xludf.DUMMYFUNCTION("""COMPUTED_VALUE"""),"11.08.21 11-30")</f>
        <v>11.08.21 11-30</v>
      </c>
      <c r="N331" t="str">
        <f ca="1">IFERROR(__xludf.DUMMYFUNCTION("""COMPUTED_VALUE"""),"21 ВЫГ2")</f>
        <v>21 ВЫГ2</v>
      </c>
      <c r="O331">
        <f ca="1">IFERROR(__xludf.DUMMYFUNCTION("""COMPUTED_VALUE"""),46680)</f>
        <v>46680</v>
      </c>
      <c r="P331" t="str">
        <f ca="1">IFERROR(__xludf.DUMMYFUNCTION("""COMPUTED_VALUE"""),"РАДУШНАЯ")</f>
        <v>РАДУШНАЯ</v>
      </c>
      <c r="Q331">
        <f ca="1">IFERROR(__xludf.DUMMYFUNCTION("""COMPUTED_VALUE"""),35050)</f>
        <v>35050</v>
      </c>
      <c r="R331" t="str">
        <f ca="1">IFERROR(__xludf.DUMMYFUNCTION("""COMPUTED_VALUE"""),"КРЕМЕНЕЦ")</f>
        <v>КРЕМЕНЕЦ</v>
      </c>
      <c r="S331" t="str">
        <f ca="1">IFERROR(__xludf.DUMMYFUNCTION("""COMPUTED_VALUE"""),"29.07.21 16-40")</f>
        <v>29.07.21 16-40</v>
      </c>
      <c r="U331" t="str">
        <f ca="1">IFERROR(__xludf.DUMMYFUNCTION("""COMPUTED_VALUE"""),"05.10.2022 ДР")</f>
        <v>05.10.2022 ДР</v>
      </c>
      <c r="Z331" t="str">
        <f ca="1">IFERROR(__xludf.DUMMYFUNCTION("""COMPUTED_VALUE"""),"ООО ""КОМПАНИЯ ""ЮТАЛ-ТРАНС""")</f>
        <v>ООО "КОМПАНИЯ "ЮТАЛ-ТРАНС"</v>
      </c>
      <c r="AA331" t="str">
        <f ca="1">IFERROR(__xludf.DUMMYFUNCTION("""COMPUTED_VALUE"""),"12-783")</f>
        <v>12-783</v>
      </c>
      <c r="AB331" t="str">
        <f ca="1">IFERROR(__xludf.DUMMYFUNCTION("""COMPUTED_VALUE"""),"48 ДОН")</f>
        <v>48 ДОН</v>
      </c>
      <c r="AC331" t="str">
        <f ca="1">IFERROR(__xludf.DUMMYFUNCTION("""COMPUTED_VALUE"""),"49480 СОЛЬ")</f>
        <v>49480 СОЛЬ</v>
      </c>
      <c r="AD331" t="str">
        <f ca="1">IFERROR(__xludf.DUMMYFUNCTION("""COMPUTED_VALUE"""),"21.02.21 11-35")</f>
        <v>21.02.21 11-35</v>
      </c>
      <c r="AE331" t="str">
        <f ca="1">IFERROR(__xludf.DUMMYFUNCTION("""COMPUTED_VALUE"""),"448 НEИCПPAВНOCТЬ РУЧНОГО CТOЯНOЧНОГО ТOPМOЗA")</f>
        <v>448 НEИCПPAВНOCТЬ РУЧНОГО CТOЯНOЧНОГО ТOPМOЗA</v>
      </c>
      <c r="AF331" t="str">
        <f ca="1">IFERROR(__xludf.DUMMYFUNCTION("""COMPUTED_VALUE"""),"48 ДОН")</f>
        <v>48 ДОН</v>
      </c>
      <c r="AG331" t="str">
        <f ca="1">IFERROR(__xludf.DUMMYFUNCTION("""COMPUTED_VALUE"""),"49480 СОЛЬ")</f>
        <v>49480 СОЛЬ</v>
      </c>
      <c r="AH331" t="str">
        <f ca="1">IFERROR(__xludf.DUMMYFUNCTION("""COMPUTED_VALUE"""),"26.02.21 16-30")</f>
        <v>26.02.21 16-30</v>
      </c>
      <c r="AI331" s="21">
        <f ca="1">IFERROR(__xludf.DUMMYFUNCTION("""COMPUTED_VALUE"""),44420.357662037)</f>
        <v>44420.357662037</v>
      </c>
    </row>
    <row r="332" spans="1:35" ht="13" x14ac:dyDescent="0.15">
      <c r="A332">
        <f ca="1">IFERROR(__xludf.DUMMYFUNCTION("""COMPUTED_VALUE"""),1239)</f>
        <v>1239</v>
      </c>
      <c r="B332" t="str">
        <f ca="1">IFERROR(__xludf.DUMMYFUNCTION("""COMPUTED_VALUE"""),"Техрейс")</f>
        <v>Техрейс</v>
      </c>
      <c r="C332" t="str">
        <f ca="1">IFERROR(__xludf.DUMMYFUNCTION("""COMPUTED_VALUE"""),"ЮТАЛ-ТРАНС")</f>
        <v>ЮТАЛ-ТРАНС</v>
      </c>
      <c r="D332">
        <f ca="1">IFERROR(__xludf.DUMMYFUNCTION("""COMPUTED_VALUE"""),56104987)</f>
        <v>56104987</v>
      </c>
      <c r="E332" t="str">
        <f ca="1">IFERROR(__xludf.DUMMYFUNCTION("""COMPUTED_VALUE"""),"60 ПОЛУВАГОНЫ")</f>
        <v>60 ПОЛУВАГОНЫ</v>
      </c>
      <c r="F332">
        <f ca="1">IFERROR(__xludf.DUMMYFUNCTION("""COMPUTED_VALUE"""),42103)</f>
        <v>42103</v>
      </c>
      <c r="G332" t="str">
        <f ca="1">IFERROR(__xludf.DUMMYFUNCTION("""COMPUTED_VALUE"""),"ВАГОНЫ ЖД СВ")</f>
        <v>ВАГОНЫ ЖД СВ</v>
      </c>
      <c r="H332">
        <f ca="1">IFERROR(__xludf.DUMMYFUNCTION("""COMPUTED_VALUE"""),0)</f>
        <v>0</v>
      </c>
      <c r="I332">
        <f ca="1">IFERROR(__xludf.DUMMYFUNCTION("""COMPUTED_VALUE"""),5343)</f>
        <v>5343</v>
      </c>
      <c r="J332" t="str">
        <f ca="1">IFERROR(__xludf.DUMMYFUNCTION("""COMPUTED_VALUE"""),"3501 (48280-098-48200) АВДЕЕВКА - ПОКРОВСК")</f>
        <v>3501 (48280-098-48200) АВДЕЕВКА - ПОКРОВСК</v>
      </c>
      <c r="K332">
        <f ca="1">IFERROR(__xludf.DUMMYFUNCTION("""COMPUTED_VALUE"""),48200)</f>
        <v>48200</v>
      </c>
      <c r="L332" t="str">
        <f ca="1">IFERROR(__xludf.DUMMYFUNCTION("""COMPUTED_VALUE"""),"ПОКРОВСК")</f>
        <v>ПОКРОВСК</v>
      </c>
      <c r="M332" t="str">
        <f ca="1">IFERROR(__xludf.DUMMYFUNCTION("""COMPUTED_VALUE"""),"12.08.21 05-34")</f>
        <v>12.08.21 05-34</v>
      </c>
      <c r="N332" t="str">
        <f ca="1">IFERROR(__xludf.DUMMYFUNCTION("""COMPUTED_VALUE"""),"04 РАСФ")</f>
        <v>04 РАСФ</v>
      </c>
      <c r="O332">
        <f ca="1">IFERROR(__xludf.DUMMYFUNCTION("""COMPUTED_VALUE"""),46720)</f>
        <v>46720</v>
      </c>
      <c r="P332" t="str">
        <f ca="1">IFERROR(__xludf.DUMMYFUNCTION("""COMPUTED_VALUE"""),"КРИВОЙ РОГ")</f>
        <v>КРИВОЙ РОГ</v>
      </c>
      <c r="Q332">
        <f ca="1">IFERROR(__xludf.DUMMYFUNCTION("""COMPUTED_VALUE"""),48280)</f>
        <v>48280</v>
      </c>
      <c r="R332" t="str">
        <f ca="1">IFERROR(__xludf.DUMMYFUNCTION("""COMPUTED_VALUE"""),"АВДЕЕВКА")</f>
        <v>АВДЕЕВКА</v>
      </c>
      <c r="S332" t="str">
        <f ca="1">IFERROR(__xludf.DUMMYFUNCTION("""COMPUTED_VALUE"""),"10.08.21 12-10")</f>
        <v>10.08.21 12-10</v>
      </c>
      <c r="T332">
        <f ca="1">IFERROR(__xludf.DUMMYFUNCTION("""COMPUTED_VALUE"""),7253)</f>
        <v>7253</v>
      </c>
      <c r="U332" t="str">
        <f ca="1">IFERROR(__xludf.DUMMYFUNCTION("""COMPUTED_VALUE"""),"30.11.2022 ДР")</f>
        <v>30.11.2022 ДР</v>
      </c>
      <c r="Z332" t="str">
        <f ca="1">IFERROR(__xludf.DUMMYFUNCTION("""COMPUTED_VALUE"""),"ООО ""КОМПАНИЯ ""ЮТАЛ-ТРАНС""")</f>
        <v>ООО "КОМПАНИЯ "ЮТАЛ-ТРАНС"</v>
      </c>
      <c r="AA332" t="str">
        <f ca="1">IFERROR(__xludf.DUMMYFUNCTION("""COMPUTED_VALUE"""),"12-783")</f>
        <v>12-783</v>
      </c>
      <c r="AB332" t="str">
        <f ca="1">IFERROR(__xludf.DUMMYFUNCTION("""COMPUTED_VALUE"""),"40 ОД")</f>
        <v>40 ОД</v>
      </c>
      <c r="AC332" t="str">
        <f ca="1">IFERROR(__xludf.DUMMYFUNCTION("""COMPUTED_VALUE"""),"41000 ЗНАМЕНКА")</f>
        <v>41000 ЗНАМЕНКА</v>
      </c>
      <c r="AD332" t="str">
        <f ca="1">IFERROR(__xludf.DUMMYFUNCTION("""COMPUTED_VALUE"""),"10.11.19 06-00")</f>
        <v>10.11.19 06-00</v>
      </c>
      <c r="AE332" t="str">
        <f ca="1">IFERROR(__xludf.DUMMYFUNCTION("""COMPUTED_VALUE"""),"571 ИCТEК КAЛЕНДАРНЫЙ CPOК КAПИТAЛЬНОГО PEМOНТA")</f>
        <v>571 ИCТEК КAЛЕНДАРНЫЙ CPOК КAПИТAЛЬНОГО PEМOНТA</v>
      </c>
      <c r="AF332" t="str">
        <f ca="1">IFERROR(__xludf.DUMMYFUNCTION("""COMPUTED_VALUE"""),"40 ОД")</f>
        <v>40 ОД</v>
      </c>
      <c r="AG332" t="str">
        <f ca="1">IFERROR(__xludf.DUMMYFUNCTION("""COMPUTED_VALUE"""),"41000 ЗНАМЕНКА")</f>
        <v>41000 ЗНАМЕНКА</v>
      </c>
      <c r="AH332" t="str">
        <f ca="1">IFERROR(__xludf.DUMMYFUNCTION("""COMPUTED_VALUE"""),"30.11.19 14-00")</f>
        <v>30.11.19 14-00</v>
      </c>
      <c r="AI332" s="21">
        <f ca="1">IFERROR(__xludf.DUMMYFUNCTION("""COMPUTED_VALUE"""),44420.357662037)</f>
        <v>44420.357662037</v>
      </c>
    </row>
    <row r="333" spans="1:35" ht="13" x14ac:dyDescent="0.15">
      <c r="A333">
        <f ca="1">IFERROR(__xludf.DUMMYFUNCTION("""COMPUTED_VALUE"""),1240)</f>
        <v>1240</v>
      </c>
      <c r="B333" t="str">
        <f ca="1">IFERROR(__xludf.DUMMYFUNCTION("""COMPUTED_VALUE"""),"Техрейс")</f>
        <v>Техрейс</v>
      </c>
      <c r="C333" t="str">
        <f ca="1">IFERROR(__xludf.DUMMYFUNCTION("""COMPUTED_VALUE"""),"ЮТАЛ-ТРАНС")</f>
        <v>ЮТАЛ-ТРАНС</v>
      </c>
      <c r="D333">
        <f ca="1">IFERROR(__xludf.DUMMYFUNCTION("""COMPUTED_VALUE"""),56107568)</f>
        <v>56107568</v>
      </c>
      <c r="E333" t="str">
        <f ca="1">IFERROR(__xludf.DUMMYFUNCTION("""COMPUTED_VALUE"""),"60 ПОЛУВАГОНЫ")</f>
        <v>60 ПОЛУВАГОНЫ</v>
      </c>
      <c r="F333">
        <f ca="1">IFERROR(__xludf.DUMMYFUNCTION("""COMPUTED_VALUE"""),42103)</f>
        <v>42103</v>
      </c>
      <c r="G333" t="str">
        <f ca="1">IFERROR(__xludf.DUMMYFUNCTION("""COMPUTED_VALUE"""),"ВАГОНЫ ЖД СВ")</f>
        <v>ВАГОНЫ ЖД СВ</v>
      </c>
      <c r="H333">
        <f ca="1">IFERROR(__xludf.DUMMYFUNCTION("""COMPUTED_VALUE"""),0)</f>
        <v>0</v>
      </c>
      <c r="I333">
        <f ca="1">IFERROR(__xludf.DUMMYFUNCTION("""COMPUTED_VALUE"""),4714)</f>
        <v>4714</v>
      </c>
      <c r="J333" t="str">
        <f ca="1">IFERROR(__xludf.DUMMYFUNCTION("""COMPUTED_VALUE"""),"5555 (49000-664-00090) ЛИМАН -")</f>
        <v>5555 (49000-664-00090) ЛИМАН -</v>
      </c>
      <c r="K333">
        <f ca="1">IFERROR(__xludf.DUMMYFUNCTION("""COMPUTED_VALUE"""),49000)</f>
        <v>49000</v>
      </c>
      <c r="L333" t="str">
        <f ca="1">IFERROR(__xludf.DUMMYFUNCTION("""COMPUTED_VALUE"""),"ЛИМАН")</f>
        <v>ЛИМАН</v>
      </c>
      <c r="M333" t="str">
        <f ca="1">IFERROR(__xludf.DUMMYFUNCTION("""COMPUTED_VALUE"""),"25.07.21 06-20")</f>
        <v>25.07.21 06-20</v>
      </c>
      <c r="N333" t="str">
        <f ca="1">IFERROR(__xludf.DUMMYFUNCTION("""COMPUTED_VALUE"""),"98 ОТОТ")</f>
        <v>98 ОТОТ</v>
      </c>
      <c r="O333">
        <f ca="1">IFERROR(__xludf.DUMMYFUNCTION("""COMPUTED_VALUE"""),49480)</f>
        <v>49480</v>
      </c>
      <c r="P333" t="str">
        <f ca="1">IFERROR(__xludf.DUMMYFUNCTION("""COMPUTED_VALUE"""),"СОЛЬ")</f>
        <v>СОЛЬ</v>
      </c>
      <c r="Q333">
        <f ca="1">IFERROR(__xludf.DUMMYFUNCTION("""COMPUTED_VALUE"""),44970)</f>
        <v>44970</v>
      </c>
      <c r="R333" t="str">
        <f ca="1">IFERROR(__xludf.DUMMYFUNCTION("""COMPUTED_VALUE"""),"БУДЫ")</f>
        <v>БУДЫ</v>
      </c>
      <c r="S333" t="str">
        <f ca="1">IFERROR(__xludf.DUMMYFUNCTION("""COMPUTED_VALUE"""),"21.07.21 12-00")</f>
        <v>21.07.21 12-00</v>
      </c>
      <c r="T333">
        <f ca="1">IFERROR(__xludf.DUMMYFUNCTION("""COMPUTED_VALUE"""),8200)</f>
        <v>8200</v>
      </c>
      <c r="U333" t="str">
        <f ca="1">IFERROR(__xludf.DUMMYFUNCTION("""COMPUTED_VALUE"""),"30.04.2022 КР")</f>
        <v>30.04.2022 КР</v>
      </c>
      <c r="Z333" t="str">
        <f ca="1">IFERROR(__xludf.DUMMYFUNCTION("""COMPUTED_VALUE"""),"ООО ""КОМПАНИЯ ""ЮТАЛ-ТРАНС""")</f>
        <v>ООО "КОМПАНИЯ "ЮТАЛ-ТРАНС"</v>
      </c>
      <c r="AA333" t="str">
        <f ca="1">IFERROR(__xludf.DUMMYFUNCTION("""COMPUTED_VALUE"""),"12-783")</f>
        <v>12-783</v>
      </c>
      <c r="AB333" t="str">
        <f ca="1">IFERROR(__xludf.DUMMYFUNCTION("""COMPUTED_VALUE"""),"48 ДОН")</f>
        <v>48 ДОН</v>
      </c>
      <c r="AC333" t="str">
        <f ca="1">IFERROR(__xludf.DUMMYFUNCTION("""COMPUTED_VALUE"""),"49000 ЛИМАН")</f>
        <v>49000 ЛИМАН</v>
      </c>
      <c r="AD333" t="str">
        <f ca="1">IFERROR(__xludf.DUMMYFUNCTION("""COMPUTED_VALUE"""),"23.07.21 14-44")</f>
        <v>23.07.21 14-44</v>
      </c>
      <c r="AE333" t="str">
        <f ca="1">IFERROR(__xludf.DUMMYFUNCTION("""COMPUTED_VALUE"""),"102 ТOНКИЙ ГPEБEНЬ")</f>
        <v>102 ТOНКИЙ ГPEБEНЬ</v>
      </c>
      <c r="AF333" t="str">
        <f ca="1">IFERROR(__xludf.DUMMYFUNCTION("""COMPUTED_VALUE"""),"45 ПРИДН")</f>
        <v>45 ПРИДН</v>
      </c>
      <c r="AG333" t="str">
        <f ca="1">IFERROR(__xludf.DUMMYFUNCTION("""COMPUTED_VALUE"""),"46710 КРИВ.РОГ-СОР")</f>
        <v>46710 КРИВ.РОГ-СОР</v>
      </c>
      <c r="AH333" t="str">
        <f ca="1">IFERROR(__xludf.DUMMYFUNCTION("""COMPUTED_VALUE"""),"06.05.21 17-35")</f>
        <v>06.05.21 17-35</v>
      </c>
      <c r="AI333" s="21">
        <f ca="1">IFERROR(__xludf.DUMMYFUNCTION("""COMPUTED_VALUE"""),44420.357662037)</f>
        <v>44420.357662037</v>
      </c>
    </row>
    <row r="334" spans="1:35" ht="13" x14ac:dyDescent="0.15">
      <c r="A334">
        <f ca="1">IFERROR(__xludf.DUMMYFUNCTION("""COMPUTED_VALUE"""),1242)</f>
        <v>1242</v>
      </c>
      <c r="B334" t="str">
        <f ca="1">IFERROR(__xludf.DUMMYFUNCTION("""COMPUTED_VALUE"""),"Техрейс")</f>
        <v>Техрейс</v>
      </c>
      <c r="C334" t="str">
        <f ca="1">IFERROR(__xludf.DUMMYFUNCTION("""COMPUTED_VALUE"""),"ЮТАЛ-ТРАНС")</f>
        <v>ЮТАЛ-ТРАНС</v>
      </c>
      <c r="D334">
        <f ca="1">IFERROR(__xludf.DUMMYFUNCTION("""COMPUTED_VALUE"""),56107808)</f>
        <v>56107808</v>
      </c>
      <c r="E334" t="str">
        <f ca="1">IFERROR(__xludf.DUMMYFUNCTION("""COMPUTED_VALUE"""),"60 ПОЛУВАГОНЫ")</f>
        <v>60 ПОЛУВАГОНЫ</v>
      </c>
      <c r="F334">
        <f ca="1">IFERROR(__xludf.DUMMYFUNCTION("""COMPUTED_VALUE"""),42103)</f>
        <v>42103</v>
      </c>
      <c r="G334" t="str">
        <f ca="1">IFERROR(__xludf.DUMMYFUNCTION("""COMPUTED_VALUE"""),"ВАГОНЫ ЖД СВ")</f>
        <v>ВАГОНЫ ЖД СВ</v>
      </c>
      <c r="H334">
        <f ca="1">IFERROR(__xludf.DUMMYFUNCTION("""COMPUTED_VALUE"""),70)</f>
        <v>70</v>
      </c>
      <c r="I334">
        <f ca="1">IFERROR(__xludf.DUMMYFUNCTION("""COMPUTED_VALUE"""),5380)</f>
        <v>5380</v>
      </c>
      <c r="J334" t="str">
        <f ca="1">IFERROR(__xludf.DUMMYFUNCTION("""COMPUTED_VALUE"""),"3052 (35400-017-34000) КОВЕЛЬ - ШЕПЕТОВКА")</f>
        <v>3052 (35400-017-34000) КОВЕЛЬ - ШЕПЕТОВКА</v>
      </c>
      <c r="K334">
        <f ca="1">IFERROR(__xludf.DUMMYFUNCTION("""COMPUTED_VALUE"""),34140)</f>
        <v>34140</v>
      </c>
      <c r="L334" t="str">
        <f ca="1">IFERROR(__xludf.DUMMYFUNCTION("""COMPUTED_VALUE"""),"СЛАВУТА I")</f>
        <v>СЛАВУТА I</v>
      </c>
      <c r="M334" t="str">
        <f ca="1">IFERROR(__xludf.DUMMYFUNCTION("""COMPUTED_VALUE"""),"10.08.21 20-48")</f>
        <v>10.08.21 20-48</v>
      </c>
      <c r="N334" t="str">
        <f ca="1">IFERROR(__xludf.DUMMYFUNCTION("""COMPUTED_VALUE"""),"01 ПРИБ")</f>
        <v>01 ПРИБ</v>
      </c>
      <c r="O334">
        <f ca="1">IFERROR(__xludf.DUMMYFUNCTION("""COMPUTED_VALUE"""),34650)</f>
        <v>34650</v>
      </c>
      <c r="P334" t="str">
        <f ca="1">IFERROR(__xludf.DUMMYFUNCTION("""COMPUTED_VALUE"""),"БЕХИ")</f>
        <v>БЕХИ</v>
      </c>
      <c r="Q334">
        <f ca="1">IFERROR(__xludf.DUMMYFUNCTION("""COMPUTED_VALUE"""),49480)</f>
        <v>49480</v>
      </c>
      <c r="R334" t="str">
        <f ca="1">IFERROR(__xludf.DUMMYFUNCTION("""COMPUTED_VALUE"""),"СОЛЬ")</f>
        <v>СОЛЬ</v>
      </c>
      <c r="S334" t="str">
        <f ca="1">IFERROR(__xludf.DUMMYFUNCTION("""COMPUTED_VALUE"""),"24.07.21 16-00")</f>
        <v>24.07.21 16-00</v>
      </c>
      <c r="T334">
        <f ca="1">IFERROR(__xludf.DUMMYFUNCTION("""COMPUTED_VALUE"""),0)</f>
        <v>0</v>
      </c>
      <c r="U334" t="str">
        <f ca="1">IFERROR(__xludf.DUMMYFUNCTION("""COMPUTED_VALUE"""),"16.08.2023 ДР")</f>
        <v>16.08.2023 ДР</v>
      </c>
      <c r="Z334" t="str">
        <f ca="1">IFERROR(__xludf.DUMMYFUNCTION("""COMPUTED_VALUE"""),"ООО ""КОМПАНИЯ ""ЮТАЛ-ТРАНС""")</f>
        <v>ООО "КОМПАНИЯ "ЮТАЛ-ТРАНС"</v>
      </c>
      <c r="AA334" t="str">
        <f ca="1">IFERROR(__xludf.DUMMYFUNCTION("""COMPUTED_VALUE"""),"12-783")</f>
        <v>12-783</v>
      </c>
      <c r="AB334" t="str">
        <f ca="1">IFERROR(__xludf.DUMMYFUNCTION("""COMPUTED_VALUE"""),"45 ПРИДН")</f>
        <v>45 ПРИДН</v>
      </c>
      <c r="AC334" t="str">
        <f ca="1">IFERROR(__xludf.DUMMYFUNCTION("""COMPUTED_VALUE"""),"46700 КРИВ.РОГ-ГЛА")</f>
        <v>46700 КРИВ.РОГ-ГЛА</v>
      </c>
      <c r="AD334" t="str">
        <f ca="1">IFERROR(__xludf.DUMMYFUNCTION("""COMPUTED_VALUE"""),"04.05.21 10-00")</f>
        <v>04.05.21 10-00</v>
      </c>
      <c r="AE334" t="str">
        <f ca="1">IFERROR(__xludf.DUMMYFUNCTION("""COMPUTED_VALUE"""),"380 ТPEЩИНА ЦEНТPИPУЮЩEЙ БAЛКИ")</f>
        <v>380 ТPEЩИНА ЦEНТPИPУЮЩEЙ БAЛКИ</v>
      </c>
      <c r="AF334" t="str">
        <f ca="1">IFERROR(__xludf.DUMMYFUNCTION("""COMPUTED_VALUE"""),"45 ПРИДН")</f>
        <v>45 ПРИДН</v>
      </c>
      <c r="AG334" t="str">
        <f ca="1">IFERROR(__xludf.DUMMYFUNCTION("""COMPUTED_VALUE"""),"46700 КРИВ.РОГ-ГЛА")</f>
        <v>46700 КРИВ.РОГ-ГЛА</v>
      </c>
      <c r="AH334" t="str">
        <f ca="1">IFERROR(__xludf.DUMMYFUNCTION("""COMPUTED_VALUE"""),"06.05.21 16-00")</f>
        <v>06.05.21 16-00</v>
      </c>
      <c r="AI334" s="21">
        <f ca="1">IFERROR(__xludf.DUMMYFUNCTION("""COMPUTED_VALUE"""),44420.357662037)</f>
        <v>44420.357662037</v>
      </c>
    </row>
    <row r="335" spans="1:35" ht="13" x14ac:dyDescent="0.15">
      <c r="A335">
        <f ca="1">IFERROR(__xludf.DUMMYFUNCTION("""COMPUTED_VALUE"""),1243)</f>
        <v>1243</v>
      </c>
      <c r="B335" t="str">
        <f ca="1">IFERROR(__xludf.DUMMYFUNCTION("""COMPUTED_VALUE"""),"Техрейс")</f>
        <v>Техрейс</v>
      </c>
      <c r="C335" t="str">
        <f ca="1">IFERROR(__xludf.DUMMYFUNCTION("""COMPUTED_VALUE"""),"ЮТАЛ-ТРАНС")</f>
        <v>ЮТАЛ-ТРАНС</v>
      </c>
      <c r="D335">
        <f ca="1">IFERROR(__xludf.DUMMYFUNCTION("""COMPUTED_VALUE"""),56107980)</f>
        <v>56107980</v>
      </c>
      <c r="E335" t="str">
        <f ca="1">IFERROR(__xludf.DUMMYFUNCTION("""COMPUTED_VALUE"""),"60 ПОЛУВАГОНЫ")</f>
        <v>60 ПОЛУВАГОНЫ</v>
      </c>
      <c r="F335">
        <f ca="1">IFERROR(__xludf.DUMMYFUNCTION("""COMPUTED_VALUE"""),42103)</f>
        <v>42103</v>
      </c>
      <c r="G335" t="str">
        <f ca="1">IFERROR(__xludf.DUMMYFUNCTION("""COMPUTED_VALUE"""),"ВАГОНЫ ЖД СВ")</f>
        <v>ВАГОНЫ ЖД СВ</v>
      </c>
      <c r="H335">
        <f ca="1">IFERROR(__xludf.DUMMYFUNCTION("""COMPUTED_VALUE"""),70)</f>
        <v>70</v>
      </c>
      <c r="I335">
        <f ca="1">IFERROR(__xludf.DUMMYFUNCTION("""COMPUTED_VALUE"""),1641)</f>
        <v>1641</v>
      </c>
      <c r="J335" t="str">
        <f ca="1">IFERROR(__xludf.DUMMYFUNCTION("""COMPUTED_VALUE"""),"3447 (36000-056-36470) ТЕРНОПОЛЬ - ЧЕРТКОВ")</f>
        <v>3447 (36000-056-36470) ТЕРНОПОЛЬ - ЧЕРТКОВ</v>
      </c>
      <c r="K335">
        <f ca="1">IFERROR(__xludf.DUMMYFUNCTION("""COMPUTED_VALUE"""),36310)</f>
        <v>36310</v>
      </c>
      <c r="L335" t="str">
        <f ca="1">IFERROR(__xludf.DUMMYFUNCTION("""COMPUTED_VALUE"""),"ХОРОСТКОВ")</f>
        <v>ХОРОСТКОВ</v>
      </c>
      <c r="M335" t="str">
        <f ca="1">IFERROR(__xludf.DUMMYFUNCTION("""COMPUTED_VALUE"""),"10.08.21 21-46")</f>
        <v>10.08.21 21-46</v>
      </c>
      <c r="N335" t="str">
        <f ca="1">IFERROR(__xludf.DUMMYFUNCTION("""COMPUTED_VALUE"""),"04 РАСФ")</f>
        <v>04 РАСФ</v>
      </c>
      <c r="O335">
        <f ca="1">IFERROR(__xludf.DUMMYFUNCTION("""COMPUTED_VALUE"""),36440)</f>
        <v>36440</v>
      </c>
      <c r="P335" t="str">
        <f ca="1">IFERROR(__xludf.DUMMYFUNCTION("""COMPUTED_VALUE"""),"БУЧАЧ")</f>
        <v>БУЧАЧ</v>
      </c>
      <c r="Q335">
        <f ca="1">IFERROR(__xludf.DUMMYFUNCTION("""COMPUTED_VALUE"""),49480)</f>
        <v>49480</v>
      </c>
      <c r="R335" t="str">
        <f ca="1">IFERROR(__xludf.DUMMYFUNCTION("""COMPUTED_VALUE"""),"СОЛЬ")</f>
        <v>СОЛЬ</v>
      </c>
      <c r="S335" t="str">
        <f ca="1">IFERROR(__xludf.DUMMYFUNCTION("""COMPUTED_VALUE"""),"27.07.21 14-00")</f>
        <v>27.07.21 14-00</v>
      </c>
      <c r="T335">
        <f ca="1">IFERROR(__xludf.DUMMYFUNCTION("""COMPUTED_VALUE"""),0)</f>
        <v>0</v>
      </c>
      <c r="U335" t="str">
        <f ca="1">IFERROR(__xludf.DUMMYFUNCTION("""COMPUTED_VALUE"""),"19.09.2022 КР")</f>
        <v>19.09.2022 КР</v>
      </c>
      <c r="Z335" t="str">
        <f ca="1">IFERROR(__xludf.DUMMYFUNCTION("""COMPUTED_VALUE"""),"ООО ""КОМПАНИЯ ""ЮТАЛ-ТРАНС""")</f>
        <v>ООО "КОМПАНИЯ "ЮТАЛ-ТРАНС"</v>
      </c>
      <c r="AA335" t="str">
        <f ca="1">IFERROR(__xludf.DUMMYFUNCTION("""COMPUTED_VALUE"""),"12-783")</f>
        <v>12-783</v>
      </c>
      <c r="AB335" t="str">
        <f ca="1">IFERROR(__xludf.DUMMYFUNCTION("""COMPUTED_VALUE"""),"48 ДОН")</f>
        <v>48 ДОН</v>
      </c>
      <c r="AC335" t="str">
        <f ca="1">IFERROR(__xludf.DUMMYFUNCTION("""COMPUTED_VALUE"""),"49480 СОЛЬ")</f>
        <v>49480 СОЛЬ</v>
      </c>
      <c r="AD335" t="str">
        <f ca="1">IFERROR(__xludf.DUMMYFUNCTION("""COMPUTED_VALUE"""),"20.07.21 20-30")</f>
        <v>20.07.21 20-30</v>
      </c>
      <c r="AE335" t="str">
        <f ca="1">IFERROR(__xludf.DUMMYFUNCTION("""COMPUTED_VALUE"""),"540 НEИCПPAВНOCТЬ ЗAПOPA ЛЮКA")</f>
        <v>540 НEИCПPAВНOCТЬ ЗAПOPA ЛЮКA</v>
      </c>
      <c r="AF335" t="str">
        <f ca="1">IFERROR(__xludf.DUMMYFUNCTION("""COMPUTED_VALUE"""),"48 ДОН")</f>
        <v>48 ДОН</v>
      </c>
      <c r="AG335" t="str">
        <f ca="1">IFERROR(__xludf.DUMMYFUNCTION("""COMPUTED_VALUE"""),"49480 СОЛЬ")</f>
        <v>49480 СОЛЬ</v>
      </c>
      <c r="AH335" t="str">
        <f ca="1">IFERROR(__xludf.DUMMYFUNCTION("""COMPUTED_VALUE"""),"24.07.21 17-00")</f>
        <v>24.07.21 17-00</v>
      </c>
      <c r="AI335" s="21">
        <f ca="1">IFERROR(__xludf.DUMMYFUNCTION("""COMPUTED_VALUE"""),44420.357662037)</f>
        <v>44420.357662037</v>
      </c>
    </row>
    <row r="336" spans="1:35" ht="13" x14ac:dyDescent="0.15">
      <c r="A336">
        <f ca="1">IFERROR(__xludf.DUMMYFUNCTION("""COMPUTED_VALUE"""),1244)</f>
        <v>1244</v>
      </c>
      <c r="B336" t="str">
        <f ca="1">IFERROR(__xludf.DUMMYFUNCTION("""COMPUTED_VALUE"""),"Техрейс")</f>
        <v>Техрейс</v>
      </c>
      <c r="C336" t="str">
        <f ca="1">IFERROR(__xludf.DUMMYFUNCTION("""COMPUTED_VALUE"""),"ЮТАЛ-ТРАНС")</f>
        <v>ЮТАЛ-ТРАНС</v>
      </c>
      <c r="D336">
        <f ca="1">IFERROR(__xludf.DUMMYFUNCTION("""COMPUTED_VALUE"""),56291362)</f>
        <v>56291362</v>
      </c>
      <c r="E336" t="str">
        <f ca="1">IFERROR(__xludf.DUMMYFUNCTION("""COMPUTED_VALUE"""),"60 ПОЛУВАГОНЫ")</f>
        <v>60 ПОЛУВАГОНЫ</v>
      </c>
      <c r="F336">
        <f ca="1">IFERROR(__xludf.DUMMYFUNCTION("""COMPUTED_VALUE"""),42103)</f>
        <v>42103</v>
      </c>
      <c r="G336" t="str">
        <f ca="1">IFERROR(__xludf.DUMMYFUNCTION("""COMPUTED_VALUE"""),"ВАГОНЫ ЖД СВ")</f>
        <v>ВАГОНЫ ЖД СВ</v>
      </c>
      <c r="H336">
        <f ca="1">IFERROR(__xludf.DUMMYFUNCTION("""COMPUTED_VALUE"""),0)</f>
        <v>0</v>
      </c>
      <c r="I336">
        <f ca="1">IFERROR(__xludf.DUMMYFUNCTION("""COMPUTED_VALUE"""),4305)</f>
        <v>4305</v>
      </c>
      <c r="J336" t="str">
        <f ca="1">IFERROR(__xludf.DUMMYFUNCTION("""COMPUTED_VALUE"""),"4840 (44140-013-44150) КАРЛОВКА - ЛАННАЯ")</f>
        <v>4840 (44140-013-44150) КАРЛОВКА - ЛАННАЯ</v>
      </c>
      <c r="K336">
        <f ca="1">IFERROR(__xludf.DUMMYFUNCTION("""COMPUTED_VALUE"""),44150)</f>
        <v>44150</v>
      </c>
      <c r="L336" t="str">
        <f ca="1">IFERROR(__xludf.DUMMYFUNCTION("""COMPUTED_VALUE"""),"ЛАННАЯ")</f>
        <v>ЛАННАЯ</v>
      </c>
      <c r="M336" t="str">
        <f ca="1">IFERROR(__xludf.DUMMYFUNCTION("""COMPUTED_VALUE"""),"11.08.21 18-00")</f>
        <v>11.08.21 18-00</v>
      </c>
      <c r="N336" t="str">
        <f ca="1">IFERROR(__xludf.DUMMYFUNCTION("""COMPUTED_VALUE"""),"91 ПРДР")</f>
        <v>91 ПРДР</v>
      </c>
      <c r="O336">
        <f ca="1">IFERROR(__xludf.DUMMYFUNCTION("""COMPUTED_VALUE"""),42500)</f>
        <v>42500</v>
      </c>
      <c r="P336" t="str">
        <f ca="1">IFERROR(__xludf.DUMMYFUNCTION("""COMPUTED_VALUE"""),"КРЕМЕНЧУГ")</f>
        <v>КРЕМЕНЧУГ</v>
      </c>
      <c r="Q336">
        <f ca="1">IFERROR(__xludf.DUMMYFUNCTION("""COMPUTED_VALUE"""),44150)</f>
        <v>44150</v>
      </c>
      <c r="R336" t="str">
        <f ca="1">IFERROR(__xludf.DUMMYFUNCTION("""COMPUTED_VALUE"""),"ЛАННАЯ")</f>
        <v>ЛАННАЯ</v>
      </c>
      <c r="S336" t="str">
        <f ca="1">IFERROR(__xludf.DUMMYFUNCTION("""COMPUTED_VALUE"""),"11.08.21 18-00")</f>
        <v>11.08.21 18-00</v>
      </c>
      <c r="T336">
        <f ca="1">IFERROR(__xludf.DUMMYFUNCTION("""COMPUTED_VALUE"""),8200)</f>
        <v>8200</v>
      </c>
      <c r="U336" t="str">
        <f ca="1">IFERROR(__xludf.DUMMYFUNCTION("""COMPUTED_VALUE"""),"20.08.2023 ДР")</f>
        <v>20.08.2023 ДР</v>
      </c>
      <c r="Z336" t="str">
        <f ca="1">IFERROR(__xludf.DUMMYFUNCTION("""COMPUTED_VALUE"""),"ООО ""КОМПАНИЯ ""ЮТАЛ-ТРАНС""")</f>
        <v>ООО "КОМПАНИЯ "ЮТАЛ-ТРАНС"</v>
      </c>
      <c r="AA336" t="str">
        <f ca="1">IFERROR(__xludf.DUMMYFUNCTION("""COMPUTED_VALUE"""),"12-119")</f>
        <v>12-119</v>
      </c>
      <c r="AB336" t="str">
        <f ca="1">IFERROR(__xludf.DUMMYFUNCTION("""COMPUTED_VALUE"""),"43 ЮЖН")</f>
        <v>43 ЮЖН</v>
      </c>
      <c r="AC336" t="str">
        <f ca="1">IFERROR(__xludf.DUMMYFUNCTION("""COMPUTED_VALUE"""),"44020 ОСНОВА")</f>
        <v>44020 ОСНОВА</v>
      </c>
      <c r="AD336" t="str">
        <f ca="1">IFERROR(__xludf.DUMMYFUNCTION("""COMPUTED_VALUE"""),"20.12.20 20-30")</f>
        <v>20.12.20 20-30</v>
      </c>
      <c r="AE336" t="str">
        <f ca="1">IFERROR(__xludf.DUMMYFUNCTION("""COMPUTED_VALUE"""),"540 НEИCПPAВНOCТЬ ЗAПOPA ЛЮКA")</f>
        <v>540 НEИCПPAВНOCТЬ ЗAПOPA ЛЮКA</v>
      </c>
      <c r="AF336" t="str">
        <f ca="1">IFERROR(__xludf.DUMMYFUNCTION("""COMPUTED_VALUE"""),"43 ЮЖН")</f>
        <v>43 ЮЖН</v>
      </c>
      <c r="AG336" t="str">
        <f ca="1">IFERROR(__xludf.DUMMYFUNCTION("""COMPUTED_VALUE"""),"44020 ОСНОВА")</f>
        <v>44020 ОСНОВА</v>
      </c>
      <c r="AH336" t="str">
        <f ca="1">IFERROR(__xludf.DUMMYFUNCTION("""COMPUTED_VALUE"""),"23.12.20 17-00")</f>
        <v>23.12.20 17-00</v>
      </c>
      <c r="AI336" s="21">
        <f ca="1">IFERROR(__xludf.DUMMYFUNCTION("""COMPUTED_VALUE"""),44420.357662037)</f>
        <v>44420.357662037</v>
      </c>
    </row>
    <row r="337" spans="1:35" ht="13" x14ac:dyDescent="0.15">
      <c r="A337">
        <f ca="1">IFERROR(__xludf.DUMMYFUNCTION("""COMPUTED_VALUE"""),1245)</f>
        <v>1245</v>
      </c>
      <c r="B337" t="str">
        <f ca="1">IFERROR(__xludf.DUMMYFUNCTION("""COMPUTED_VALUE"""),"Техрейс")</f>
        <v>Техрейс</v>
      </c>
      <c r="C337" t="str">
        <f ca="1">IFERROR(__xludf.DUMMYFUNCTION("""COMPUTED_VALUE"""),"ЮТАЛ-ТРАНС")</f>
        <v>ЮТАЛ-ТРАНС</v>
      </c>
      <c r="D337">
        <f ca="1">IFERROR(__xludf.DUMMYFUNCTION("""COMPUTED_VALUE"""),56293731)</f>
        <v>56293731</v>
      </c>
      <c r="E337" t="str">
        <f ca="1">IFERROR(__xludf.DUMMYFUNCTION("""COMPUTED_VALUE"""),"60 ПОЛУВАГОНЫ")</f>
        <v>60 ПОЛУВАГОНЫ</v>
      </c>
      <c r="F337">
        <f ca="1">IFERROR(__xludf.DUMMYFUNCTION("""COMPUTED_VALUE"""),42119)</f>
        <v>42119</v>
      </c>
      <c r="G337" t="str">
        <f ca="1">IFERROR(__xludf.DUMMYFUNCTION("""COMPUTED_VALUE"""),"ВАГОНЫ ЖД РЕМОН")</f>
        <v>ВАГОНЫ ЖД РЕМОН</v>
      </c>
      <c r="H337">
        <f ca="1">IFERROR(__xludf.DUMMYFUNCTION("""COMPUTED_VALUE"""),0)</f>
        <v>0</v>
      </c>
      <c r="I337">
        <f ca="1">IFERROR(__xludf.DUMMYFUNCTION("""COMPUTED_VALUE"""),0)</f>
        <v>0</v>
      </c>
      <c r="J337" t="str">
        <f ca="1">IFERROR(__xludf.DUMMYFUNCTION("""COMPUTED_VALUE"""),"5555 (46720-437-00100) КРИВОЙ РОГ -")</f>
        <v>5555 (46720-437-00100) КРИВОЙ РОГ -</v>
      </c>
      <c r="K337">
        <f ca="1">IFERROR(__xludf.DUMMYFUNCTION("""COMPUTED_VALUE"""),46720)</f>
        <v>46720</v>
      </c>
      <c r="L337" t="str">
        <f ca="1">IFERROR(__xludf.DUMMYFUNCTION("""COMPUTED_VALUE"""),"КРИВОЙ РОГ")</f>
        <v>КРИВОЙ РОГ</v>
      </c>
      <c r="M337" t="str">
        <f ca="1">IFERROR(__xludf.DUMMYFUNCTION("""COMPUTED_VALUE"""),"11.08.21 20-05")</f>
        <v>11.08.21 20-05</v>
      </c>
      <c r="N337" t="str">
        <f ca="1">IFERROR(__xludf.DUMMYFUNCTION("""COMPUTED_VALUE"""),"53 ВУ23")</f>
        <v>53 ВУ23</v>
      </c>
      <c r="O337">
        <f ca="1">IFERROR(__xludf.DUMMYFUNCTION("""COMPUTED_VALUE"""),46720)</f>
        <v>46720</v>
      </c>
      <c r="P337" t="str">
        <f ca="1">IFERROR(__xludf.DUMMYFUNCTION("""COMPUTED_VALUE"""),"КРИВОЙ РОГ")</f>
        <v>КРИВОЙ РОГ</v>
      </c>
      <c r="Q337">
        <f ca="1">IFERROR(__xludf.DUMMYFUNCTION("""COMPUTED_VALUE"""),46720)</f>
        <v>46720</v>
      </c>
      <c r="R337" t="str">
        <f ca="1">IFERROR(__xludf.DUMMYFUNCTION("""COMPUTED_VALUE"""),"КРИВОЙ РОГ")</f>
        <v>КРИВОЙ РОГ</v>
      </c>
      <c r="S337" t="str">
        <f ca="1">IFERROR(__xludf.DUMMYFUNCTION("""COMPUTED_VALUE"""),"10.08.21 14-30")</f>
        <v>10.08.21 14-30</v>
      </c>
      <c r="T337">
        <f ca="1">IFERROR(__xludf.DUMMYFUNCTION("""COMPUTED_VALUE"""),5343)</f>
        <v>5343</v>
      </c>
      <c r="U337" t="str">
        <f ca="1">IFERROR(__xludf.DUMMYFUNCTION("""COMPUTED_VALUE"""),"15.10.2022 ДР")</f>
        <v>15.10.2022 ДР</v>
      </c>
      <c r="Z337" t="str">
        <f ca="1">IFERROR(__xludf.DUMMYFUNCTION("""COMPUTED_VALUE"""),"ООО ""КОМПАНИЯ ""ЮТАЛ-ТРАНС""")</f>
        <v>ООО "КОМПАНИЯ "ЮТАЛ-ТРАНС"</v>
      </c>
      <c r="AA337" t="str">
        <f ca="1">IFERROR(__xludf.DUMMYFUNCTION("""COMPUTED_VALUE"""),"12-119")</f>
        <v>12-119</v>
      </c>
      <c r="AB337" t="str">
        <f ca="1">IFERROR(__xludf.DUMMYFUNCTION("""COMPUTED_VALUE"""),"45 ПРИДН")</f>
        <v>45 ПРИДН</v>
      </c>
      <c r="AC337" t="str">
        <f ca="1">IFERROR(__xludf.DUMMYFUNCTION("""COMPUTED_VALUE"""),"46720 КРИВОЙ РОГ")</f>
        <v>46720 КРИВОЙ РОГ</v>
      </c>
      <c r="AD337" t="str">
        <f ca="1">IFERROR(__xludf.DUMMYFUNCTION("""COMPUTED_VALUE"""),"11.08.21 20-05")</f>
        <v>11.08.21 20-05</v>
      </c>
      <c r="AE337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37" t="str">
        <f ca="1">IFERROR(__xludf.DUMMYFUNCTION("""COMPUTED_VALUE"""),"32 Ю-ЗАП")</f>
        <v>32 Ю-ЗАП</v>
      </c>
      <c r="AG337" t="str">
        <f ca="1">IFERROR(__xludf.DUMMYFUNCTION("""COMPUTED_VALUE"""),"33000 ЖМЕРИНКА")</f>
        <v>33000 ЖМЕРИНКА</v>
      </c>
      <c r="AH337" t="str">
        <f ca="1">IFERROR(__xludf.DUMMYFUNCTION("""COMPUTED_VALUE"""),"21.05.21 18-00")</f>
        <v>21.05.21 18-00</v>
      </c>
      <c r="AI337" s="21">
        <f ca="1">IFERROR(__xludf.DUMMYFUNCTION("""COMPUTED_VALUE"""),44420.357662037)</f>
        <v>44420.357662037</v>
      </c>
    </row>
    <row r="338" spans="1:35" ht="13" x14ac:dyDescent="0.15">
      <c r="A338">
        <f ca="1">IFERROR(__xludf.DUMMYFUNCTION("""COMPUTED_VALUE"""),1246)</f>
        <v>1246</v>
      </c>
      <c r="B338" t="str">
        <f ca="1">IFERROR(__xludf.DUMMYFUNCTION("""COMPUTED_VALUE"""),"Техрейс")</f>
        <v>Техрейс</v>
      </c>
      <c r="C338" t="str">
        <f ca="1">IFERROR(__xludf.DUMMYFUNCTION("""COMPUTED_VALUE"""),"ЮТАЛ-ТРАНС")</f>
        <v>ЮТАЛ-ТРАНС</v>
      </c>
      <c r="D338">
        <f ca="1">IFERROR(__xludf.DUMMYFUNCTION("""COMPUTED_VALUE"""),56567571)</f>
        <v>56567571</v>
      </c>
      <c r="E338" t="str">
        <f ca="1">IFERROR(__xludf.DUMMYFUNCTION("""COMPUTED_VALUE"""),"60 ПОЛУВАГОНЫ")</f>
        <v>60 ПОЛУВАГОНЫ</v>
      </c>
      <c r="F338">
        <f ca="1">IFERROR(__xludf.DUMMYFUNCTION("""COMPUTED_VALUE"""),14109)</f>
        <v>14109</v>
      </c>
      <c r="G338" t="str">
        <f ca="1">IFERROR(__xludf.DUMMYFUNCTION("""COMPUTED_VALUE"""),"ГЕМАТИТ")</f>
        <v>ГЕМАТИТ</v>
      </c>
      <c r="H338">
        <f ca="1">IFERROR(__xludf.DUMMYFUNCTION("""COMPUTED_VALUE"""),69)</f>
        <v>69</v>
      </c>
      <c r="I338">
        <f ca="1">IFERROR(__xludf.DUMMYFUNCTION("""COMPUTED_VALUE"""),5786)</f>
        <v>5786</v>
      </c>
      <c r="J338" t="str">
        <f ca="1">IFERROR(__xludf.DUMMYFUNCTION("""COMPUTED_VALUE"""),"2001 (40050-082-46720) БЕРЕГОВАЯ - КРИВОЙ РОГ")</f>
        <v>2001 (40050-082-46720) БЕРЕГОВАЯ - КРИВОЙ РОГ</v>
      </c>
      <c r="K338">
        <f ca="1">IFERROR(__xludf.DUMMYFUNCTION("""COMPUTED_VALUE"""),40050)</f>
        <v>40050</v>
      </c>
      <c r="L338" t="str">
        <f ca="1">IFERROR(__xludf.DUMMYFUNCTION("""COMPUTED_VALUE"""),"БЕРЕГОВАЯ")</f>
        <v>БЕРЕГОВАЯ</v>
      </c>
      <c r="M338" t="str">
        <f ca="1">IFERROR(__xludf.DUMMYFUNCTION("""COMPUTED_VALUE"""),"12.08.21 02-50")</f>
        <v>12.08.21 02-50</v>
      </c>
      <c r="N338" t="str">
        <f ca="1">IFERROR(__xludf.DUMMYFUNCTION("""COMPUTED_VALUE"""),"21 ВЫГ2")</f>
        <v>21 ВЫГ2</v>
      </c>
      <c r="O338">
        <f ca="1">IFERROR(__xludf.DUMMYFUNCTION("""COMPUTED_VALUE"""),40060)</f>
        <v>40060</v>
      </c>
      <c r="P338" t="str">
        <f ca="1">IFERROR(__xludf.DUMMYFUNCTION("""COMPUTED_VALUE"""),"БЕРЕГОВАЯ-Э")</f>
        <v>БЕРЕГОВАЯ-Э</v>
      </c>
      <c r="Q338">
        <f ca="1">IFERROR(__xludf.DUMMYFUNCTION("""COMPUTED_VALUE"""),46720)</f>
        <v>46720</v>
      </c>
      <c r="R338" t="str">
        <f ca="1">IFERROR(__xludf.DUMMYFUNCTION("""COMPUTED_VALUE"""),"КРИВОЙ РОГ")</f>
        <v>КРИВОЙ РОГ</v>
      </c>
      <c r="S338" t="str">
        <f ca="1">IFERROR(__xludf.DUMMYFUNCTION("""COMPUTED_VALUE"""),"09.08.21 12-00")</f>
        <v>09.08.21 12-00</v>
      </c>
      <c r="U338" t="str">
        <f ca="1">IFERROR(__xludf.DUMMYFUNCTION("""COMPUTED_VALUE"""),"04.09.2021 ДР")</f>
        <v>04.09.2021 ДР</v>
      </c>
      <c r="Z338" t="str">
        <f ca="1">IFERROR(__xludf.DUMMYFUNCTION("""COMPUTED_VALUE"""),"ООО ""КОМПАНИЯ ""ЮТАЛ-ТРАНС""")</f>
        <v>ООО "КОМПАНИЯ "ЮТАЛ-ТРАНС"</v>
      </c>
      <c r="AA338" t="str">
        <f ca="1">IFERROR(__xludf.DUMMYFUNCTION("""COMPUTED_VALUE"""),"12-119")</f>
        <v>12-119</v>
      </c>
      <c r="AB338" t="str">
        <f ca="1">IFERROR(__xludf.DUMMYFUNCTION("""COMPUTED_VALUE"""),"45 ПРИДН")</f>
        <v>45 ПРИДН</v>
      </c>
      <c r="AC338" t="str">
        <f ca="1">IFERROR(__xludf.DUMMYFUNCTION("""COMPUTED_VALUE"""),"46720 КРИВОЙ РОГ")</f>
        <v>46720 КРИВОЙ РОГ</v>
      </c>
      <c r="AD338" t="str">
        <f ca="1">IFERROR(__xludf.DUMMYFUNCTION("""COMPUTED_VALUE"""),"07.08.21 09-50")</f>
        <v>07.08.21 09-50</v>
      </c>
      <c r="AE338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38" t="str">
        <f ca="1">IFERROR(__xludf.DUMMYFUNCTION("""COMPUTED_VALUE"""),"45 ПРИДН")</f>
        <v>45 ПРИДН</v>
      </c>
      <c r="AG338" t="str">
        <f ca="1">IFERROR(__xludf.DUMMYFUNCTION("""COMPUTED_VALUE"""),"46720 КРИВОЙ РОГ")</f>
        <v>46720 КРИВОЙ РОГ</v>
      </c>
      <c r="AH338" t="str">
        <f ca="1">IFERROR(__xludf.DUMMYFUNCTION("""COMPUTED_VALUE"""),"08.08.21 05-00")</f>
        <v>08.08.21 05-00</v>
      </c>
      <c r="AI338" s="21">
        <f ca="1">IFERROR(__xludf.DUMMYFUNCTION("""COMPUTED_VALUE"""),44420.357662037)</f>
        <v>44420.357662037</v>
      </c>
    </row>
    <row r="339" spans="1:35" ht="13" x14ac:dyDescent="0.15">
      <c r="A339">
        <f ca="1">IFERROR(__xludf.DUMMYFUNCTION("""COMPUTED_VALUE"""),1248)</f>
        <v>1248</v>
      </c>
      <c r="B339" t="str">
        <f ca="1">IFERROR(__xludf.DUMMYFUNCTION("""COMPUTED_VALUE"""),"Техрейс")</f>
        <v>Техрейс</v>
      </c>
      <c r="C339" t="str">
        <f ca="1">IFERROR(__xludf.DUMMYFUNCTION("""COMPUTED_VALUE"""),"ЮТАЛ-ТРАНС")</f>
        <v>ЮТАЛ-ТРАНС</v>
      </c>
      <c r="D339">
        <f ca="1">IFERROR(__xludf.DUMMYFUNCTION("""COMPUTED_VALUE"""),56591050)</f>
        <v>56591050</v>
      </c>
      <c r="E339" t="str">
        <f ca="1">IFERROR(__xludf.DUMMYFUNCTION("""COMPUTED_VALUE"""),"60 ПОЛУВАГОНЫ")</f>
        <v>60 ПОЛУВАГОНЫ</v>
      </c>
      <c r="F339">
        <f ca="1">IFERROR(__xludf.DUMMYFUNCTION("""COMPUTED_VALUE"""),42119)</f>
        <v>42119</v>
      </c>
      <c r="G339" t="str">
        <f ca="1">IFERROR(__xludf.DUMMYFUNCTION("""COMPUTED_VALUE"""),"ВАГОНЫ ЖД РЕМОН")</f>
        <v>ВАГОНЫ ЖД РЕМОН</v>
      </c>
      <c r="H339">
        <f ca="1">IFERROR(__xludf.DUMMYFUNCTION("""COMPUTED_VALUE"""),0)</f>
        <v>0</v>
      </c>
      <c r="I339">
        <f ca="1">IFERROR(__xludf.DUMMYFUNCTION("""COMPUTED_VALUE"""),1426)</f>
        <v>1426</v>
      </c>
      <c r="J339" t="str">
        <f ca="1">IFERROR(__xludf.DUMMYFUNCTION("""COMPUTED_VALUE"""),"5555 (33000-232-00020) ЖМЕРИНКА -")</f>
        <v>5555 (33000-232-00020) ЖМЕРИНКА -</v>
      </c>
      <c r="K339">
        <f ca="1">IFERROR(__xludf.DUMMYFUNCTION("""COMPUTED_VALUE"""),33000)</f>
        <v>33000</v>
      </c>
      <c r="L339" t="str">
        <f ca="1">IFERROR(__xludf.DUMMYFUNCTION("""COMPUTED_VALUE"""),"ЖМЕРИНКА")</f>
        <v>ЖМЕРИНКА</v>
      </c>
      <c r="M339" t="str">
        <f ca="1">IFERROR(__xludf.DUMMYFUNCTION("""COMPUTED_VALUE"""),"15.07.21 10-18")</f>
        <v>15.07.21 10-18</v>
      </c>
      <c r="N339" t="str">
        <f ca="1">IFERROR(__xludf.DUMMYFUNCTION("""COMPUTED_VALUE"""),"53 ВУ23")</f>
        <v>53 ВУ23</v>
      </c>
      <c r="O339">
        <f ca="1">IFERROR(__xludf.DUMMYFUNCTION("""COMPUTED_VALUE"""),33000)</f>
        <v>33000</v>
      </c>
      <c r="P339" t="str">
        <f ca="1">IFERROR(__xludf.DUMMYFUNCTION("""COMPUTED_VALUE"""),"ЖМЕРИНКА")</f>
        <v>ЖМЕРИНКА</v>
      </c>
      <c r="Q339">
        <f ca="1">IFERROR(__xludf.DUMMYFUNCTION("""COMPUTED_VALUE"""),38170)</f>
        <v>38170</v>
      </c>
      <c r="R339" t="str">
        <f ca="1">IFERROR(__xludf.DUMMYFUNCTION("""COMPUTED_VALUE"""),"ДУБРЫНИЧИ")</f>
        <v>ДУБРЫНИЧИ</v>
      </c>
      <c r="S339" t="str">
        <f ca="1">IFERROR(__xludf.DUMMYFUNCTION("""COMPUTED_VALUE"""),"31.05.21 16-50")</f>
        <v>31.05.21 16-50</v>
      </c>
      <c r="T339">
        <f ca="1">IFERROR(__xludf.DUMMYFUNCTION("""COMPUTED_VALUE"""),1170)</f>
        <v>1170</v>
      </c>
      <c r="U339" t="str">
        <f ca="1">IFERROR(__xludf.DUMMYFUNCTION("""COMPUTED_VALUE"""),"13.08.2021 КР")</f>
        <v>13.08.2021 КР</v>
      </c>
      <c r="Z339" t="str">
        <f ca="1">IFERROR(__xludf.DUMMYFUNCTION("""COMPUTED_VALUE"""),"ООО ""КОМПАНИЯ ""ЮТАЛ-ТРАНС""")</f>
        <v>ООО "КОМПАНИЯ "ЮТАЛ-ТРАНС"</v>
      </c>
      <c r="AA339" t="str">
        <f ca="1">IFERROR(__xludf.DUMMYFUNCTION("""COMPUTED_VALUE"""),"12-119")</f>
        <v>12-119</v>
      </c>
      <c r="AB339" t="str">
        <f ca="1">IFERROR(__xludf.DUMMYFUNCTION("""COMPUTED_VALUE"""),"32 Ю-ЗАП")</f>
        <v>32 Ю-ЗАП</v>
      </c>
      <c r="AC339" t="str">
        <f ca="1">IFERROR(__xludf.DUMMYFUNCTION("""COMPUTED_VALUE"""),"33000 ЖМЕРИНКА")</f>
        <v>33000 ЖМЕРИНКА</v>
      </c>
      <c r="AD339" t="str">
        <f ca="1">IFERROR(__xludf.DUMMYFUNCTION("""COMPUTED_VALUE"""),"15.07.21 10-18")</f>
        <v>15.07.21 10-18</v>
      </c>
      <c r="AE339" t="str">
        <f ca="1">IFERROR(__xludf.DUMMYFUNCTION("""COMPUTED_VALUE"""),"571 ИCТEК КAЛЕНДАРНЫЙ CPOК КAПИТAЛЬНОГО PEМOНТA")</f>
        <v>571 ИCТEК КAЛЕНДАРНЫЙ CPOК КAПИТAЛЬНОГО PEМOНТA</v>
      </c>
      <c r="AF339" t="str">
        <f ca="1">IFERROR(__xludf.DUMMYFUNCTION("""COMPUTED_VALUE"""),"45 ПРИДН")</f>
        <v>45 ПРИДН</v>
      </c>
      <c r="AG339" t="str">
        <f ca="1">IFERROR(__xludf.DUMMYFUNCTION("""COMPUTED_VALUE"""),"46720 КРИВОЙ РОГ")</f>
        <v>46720 КРИВОЙ РОГ</v>
      </c>
      <c r="AH339" t="str">
        <f ca="1">IFERROR(__xludf.DUMMYFUNCTION("""COMPUTED_VALUE"""),"02.07.20 05-30")</f>
        <v>02.07.20 05-30</v>
      </c>
      <c r="AI339" s="21">
        <f ca="1">IFERROR(__xludf.DUMMYFUNCTION("""COMPUTED_VALUE"""),44420.357662037)</f>
        <v>44420.357662037</v>
      </c>
    </row>
    <row r="340" spans="1:35" ht="13" x14ac:dyDescent="0.15">
      <c r="A340">
        <f ca="1">IFERROR(__xludf.DUMMYFUNCTION("""COMPUTED_VALUE"""),1249)</f>
        <v>1249</v>
      </c>
      <c r="B340" t="str">
        <f ca="1">IFERROR(__xludf.DUMMYFUNCTION("""COMPUTED_VALUE"""),"Лидер")</f>
        <v>Лидер</v>
      </c>
      <c r="C340" t="str">
        <f ca="1">IFERROR(__xludf.DUMMYFUNCTION("""COMPUTED_VALUE"""),"ЮТАЛ-ТРАНС")</f>
        <v>ЮТАЛ-ТРАНС</v>
      </c>
      <c r="D340">
        <f ca="1">IFERROR(__xludf.DUMMYFUNCTION("""COMPUTED_VALUE"""),56591159)</f>
        <v>56591159</v>
      </c>
      <c r="E340" t="str">
        <f ca="1">IFERROR(__xludf.DUMMYFUNCTION("""COMPUTED_VALUE"""),"60 ПОЛУВАГОНЫ")</f>
        <v>60 ПОЛУВАГОНЫ</v>
      </c>
      <c r="F340">
        <f ca="1">IFERROR(__xludf.DUMMYFUNCTION("""COMPUTED_VALUE"""),42103)</f>
        <v>42103</v>
      </c>
      <c r="G340" t="str">
        <f ca="1">IFERROR(__xludf.DUMMYFUNCTION("""COMPUTED_VALUE"""),"ВАГОНЫ ЖД СВ")</f>
        <v>ВАГОНЫ ЖД СВ</v>
      </c>
      <c r="H340">
        <f ca="1">IFERROR(__xludf.DUMMYFUNCTION("""COMPUTED_VALUE"""),0)</f>
        <v>0</v>
      </c>
      <c r="I340">
        <f ca="1">IFERROR(__xludf.DUMMYFUNCTION("""COMPUTED_VALUE"""),3437)</f>
        <v>3437</v>
      </c>
      <c r="J340" t="str">
        <f ca="1">IFERROR(__xludf.DUMMYFUNCTION("""COMPUTED_VALUE"""),"2727 (44020-209-32000) ОСНОВА - ДАРНИЦА")</f>
        <v>2727 (44020-209-32000) ОСНОВА - ДАРНИЦА</v>
      </c>
      <c r="K340">
        <f ca="1">IFERROR(__xludf.DUMMYFUNCTION("""COMPUTED_VALUE"""),32250)</f>
        <v>32250</v>
      </c>
      <c r="L340" t="str">
        <f ca="1">IFERROR(__xludf.DUMMYFUNCTION("""COMPUTED_VALUE"""),"ИМ.Г.КИРПЫ")</f>
        <v>ИМ.Г.КИРПЫ</v>
      </c>
      <c r="M340" t="str">
        <f ca="1">IFERROR(__xludf.DUMMYFUNCTION("""COMPUTED_VALUE"""),"11.08.21 15-01")</f>
        <v>11.08.21 15-01</v>
      </c>
      <c r="N340" t="str">
        <f ca="1">IFERROR(__xludf.DUMMYFUNCTION("""COMPUTED_VALUE"""),"01 ПРИБ")</f>
        <v>01 ПРИБ</v>
      </c>
      <c r="O340">
        <f ca="1">IFERROR(__xludf.DUMMYFUNCTION("""COMPUTED_VALUE"""),34750)</f>
        <v>34750</v>
      </c>
      <c r="P340" t="str">
        <f ca="1">IFERROR(__xludf.DUMMYFUNCTION("""COMPUTED_VALUE"""),"ПЕНИЗЕВИЧИ")</f>
        <v>ПЕНИЗЕВИЧИ</v>
      </c>
      <c r="Q340">
        <f ca="1">IFERROR(__xludf.DUMMYFUNCTION("""COMPUTED_VALUE"""),49870)</f>
        <v>49870</v>
      </c>
      <c r="R340" t="str">
        <f ca="1">IFERROR(__xludf.DUMMYFUNCTION("""COMPUTED_VALUE"""),"РУБЕЖНОЕ")</f>
        <v>РУБЕЖНОЕ</v>
      </c>
      <c r="S340" t="str">
        <f ca="1">IFERROR(__xludf.DUMMYFUNCTION("""COMPUTED_VALUE"""),"07.08.21 23-10")</f>
        <v>07.08.21 23-10</v>
      </c>
      <c r="T340">
        <f ca="1">IFERROR(__xludf.DUMMYFUNCTION("""COMPUTED_VALUE"""),2992)</f>
        <v>2992</v>
      </c>
      <c r="U340" t="str">
        <f ca="1">IFERROR(__xludf.DUMMYFUNCTION("""COMPUTED_VALUE"""),"20.10.2022 ДР")</f>
        <v>20.10.2022 ДР</v>
      </c>
      <c r="Z340" t="str">
        <f ca="1">IFERROR(__xludf.DUMMYFUNCTION("""COMPUTED_VALUE"""),"ООО ""КОМПАНИЯ ""ЮТАЛ-ТРАНС""")</f>
        <v>ООО "КОМПАНИЯ "ЮТАЛ-ТРАНС"</v>
      </c>
      <c r="AA340" t="str">
        <f ca="1">IFERROR(__xludf.DUMMYFUNCTION("""COMPUTED_VALUE"""),"12-119")</f>
        <v>12-119</v>
      </c>
      <c r="AB340" t="str">
        <f ca="1">IFERROR(__xludf.DUMMYFUNCTION("""COMPUTED_VALUE"""),"32 Ю-ЗАП")</f>
        <v>32 Ю-ЗАП</v>
      </c>
      <c r="AC340" t="str">
        <f ca="1">IFERROR(__xludf.DUMMYFUNCTION("""COMPUTED_VALUE"""),"34000 ШЕПЕТОВКА")</f>
        <v>34000 ШЕПЕТОВКА</v>
      </c>
      <c r="AD340" t="str">
        <f ca="1">IFERROR(__xludf.DUMMYFUNCTION("""COMPUTED_VALUE"""),"29.05.21 04-15")</f>
        <v>29.05.21 04-15</v>
      </c>
      <c r="AE340" t="str">
        <f ca="1">IFERROR(__xludf.DUMMYFUNCTION("""COMPUTED_VALUE"""),"540 НEИCПPAВНOCТЬ ЗAПOPA ЛЮКA")</f>
        <v>540 НEИCПPAВНOCТЬ ЗAПOPA ЛЮКA</v>
      </c>
      <c r="AF340" t="str">
        <f ca="1">IFERROR(__xludf.DUMMYFUNCTION("""COMPUTED_VALUE"""),"32 Ю-ЗАП")</f>
        <v>32 Ю-ЗАП</v>
      </c>
      <c r="AG340" t="str">
        <f ca="1">IFERROR(__xludf.DUMMYFUNCTION("""COMPUTED_VALUE"""),"34000 ШЕПЕТОВКА")</f>
        <v>34000 ШЕПЕТОВКА</v>
      </c>
      <c r="AH340" t="str">
        <f ca="1">IFERROR(__xludf.DUMMYFUNCTION("""COMPUTED_VALUE"""),"15.06.21 16-00")</f>
        <v>15.06.21 16-00</v>
      </c>
      <c r="AI340" s="21">
        <f ca="1">IFERROR(__xludf.DUMMYFUNCTION("""COMPUTED_VALUE"""),44420.357662037)</f>
        <v>44420.357662037</v>
      </c>
    </row>
    <row r="341" spans="1:35" ht="13" x14ac:dyDescent="0.15">
      <c r="A341">
        <f ca="1">IFERROR(__xludf.DUMMYFUNCTION("""COMPUTED_VALUE"""),1251)</f>
        <v>1251</v>
      </c>
      <c r="B341" t="str">
        <f ca="1">IFERROR(__xludf.DUMMYFUNCTION("""COMPUTED_VALUE"""),"Техрейс")</f>
        <v>Техрейс</v>
      </c>
      <c r="C341" t="str">
        <f ca="1">IFERROR(__xludf.DUMMYFUNCTION("""COMPUTED_VALUE"""),"ЮТАЛ-ТРАНС")</f>
        <v>ЮТАЛ-ТРАНС</v>
      </c>
      <c r="D341">
        <f ca="1">IFERROR(__xludf.DUMMYFUNCTION("""COMPUTED_VALUE"""),56596901)</f>
        <v>56596901</v>
      </c>
      <c r="E341" t="str">
        <f ca="1">IFERROR(__xludf.DUMMYFUNCTION("""COMPUTED_VALUE"""),"60 ПОЛУВАГОНЫ")</f>
        <v>60 ПОЛУВАГОНЫ</v>
      </c>
      <c r="F341">
        <f ca="1">IFERROR(__xludf.DUMMYFUNCTION("""COMPUTED_VALUE"""),24133)</f>
        <v>24133</v>
      </c>
      <c r="G341" t="str">
        <f ca="1">IFERROR(__xludf.DUMMYFUNCTION("""COMPUTED_VALUE"""),"КАМЕНЬ ИЗВЕСТ")</f>
        <v>КАМЕНЬ ИЗВЕСТ</v>
      </c>
      <c r="H341">
        <f ca="1">IFERROR(__xludf.DUMMYFUNCTION("""COMPUTED_VALUE"""),67)</f>
        <v>67</v>
      </c>
      <c r="I341">
        <f ca="1">IFERROR(__xludf.DUMMYFUNCTION("""COMPUTED_VALUE"""),6832)</f>
        <v>6832</v>
      </c>
      <c r="J341" t="str">
        <f ca="1">IFERROR(__xludf.DUMMYFUNCTION("""COMPUTED_VALUE"""),"3601 (45640-013-45650) ВЕРХОВЦЕВО - ВОЛЬНОГОРСК")</f>
        <v>3601 (45640-013-45650) ВЕРХОВЦЕВО - ВОЛЬНОГОРСК</v>
      </c>
      <c r="K341">
        <f ca="1">IFERROR(__xludf.DUMMYFUNCTION("""COMPUTED_VALUE"""),45650)</f>
        <v>45650</v>
      </c>
      <c r="L341" t="str">
        <f ca="1">IFERROR(__xludf.DUMMYFUNCTION("""COMPUTED_VALUE"""),"ВОЛЬНОГОРСК")</f>
        <v>ВОЛЬНОГОРСК</v>
      </c>
      <c r="M341" t="str">
        <f ca="1">IFERROR(__xludf.DUMMYFUNCTION("""COMPUTED_VALUE"""),"10.08.21 16-45")</f>
        <v>10.08.21 16-45</v>
      </c>
      <c r="N341" t="str">
        <f ca="1">IFERROR(__xludf.DUMMYFUNCTION("""COMPUTED_VALUE"""),"21 ВЫГ2")</f>
        <v>21 ВЫГ2</v>
      </c>
      <c r="O341">
        <f ca="1">IFERROR(__xludf.DUMMYFUNCTION("""COMPUTED_VALUE"""),45650)</f>
        <v>45650</v>
      </c>
      <c r="P341" t="str">
        <f ca="1">IFERROR(__xludf.DUMMYFUNCTION("""COMPUTED_VALUE"""),"ВОЛЬНОГОРСК")</f>
        <v>ВОЛЬНОГОРСК</v>
      </c>
      <c r="Q341">
        <f ca="1">IFERROR(__xludf.DUMMYFUNCTION("""COMPUTED_VALUE"""),41790)</f>
        <v>41790</v>
      </c>
      <c r="R341" t="str">
        <f ca="1">IFERROR(__xludf.DUMMYFUNCTION("""COMPUTED_VALUE"""),"ХЕРСОН-ПОРТ")</f>
        <v>ХЕРСОН-ПОРТ</v>
      </c>
      <c r="S341" t="str">
        <f ca="1">IFERROR(__xludf.DUMMYFUNCTION("""COMPUTED_VALUE"""),"02.08.21 11-05")</f>
        <v>02.08.21 11-05</v>
      </c>
      <c r="U341" t="str">
        <f ca="1">IFERROR(__xludf.DUMMYFUNCTION("""COMPUTED_VALUE"""),"29.12.2021 ДР")</f>
        <v>29.12.2021 ДР</v>
      </c>
      <c r="Z341" t="str">
        <f ca="1">IFERROR(__xludf.DUMMYFUNCTION("""COMPUTED_VALUE"""),"ООО ""КОМПАНИЯ ""ЮТАЛ-ТРАНС""")</f>
        <v>ООО "КОМПАНИЯ "ЮТАЛ-ТРАНС"</v>
      </c>
      <c r="AA341" t="str">
        <f ca="1">IFERROR(__xludf.DUMMYFUNCTION("""COMPUTED_VALUE"""),"12-532")</f>
        <v>12-532</v>
      </c>
      <c r="AB341" t="str">
        <f ca="1">IFERROR(__xludf.DUMMYFUNCTION("""COMPUTED_VALUE"""),"35 ЛЬВ")</f>
        <v>35 ЛЬВ</v>
      </c>
      <c r="AC341" t="str">
        <f ca="1">IFERROR(__xludf.DUMMYFUNCTION("""COMPUTED_VALUE"""),"35400 КОВЕЛЬ")</f>
        <v>35400 КОВЕЛЬ</v>
      </c>
      <c r="AD341" t="str">
        <f ca="1">IFERROR(__xludf.DUMMYFUNCTION("""COMPUTED_VALUE"""),"29.06.20 19-07")</f>
        <v>29.06.20 19-07</v>
      </c>
      <c r="AE341" t="str">
        <f ca="1">IFERROR(__xludf.DUMMYFUNCTION("""COMPUTED_VALUE"""),"380 ТPEЩИНА ЦEНТPИPУЮЩEЙ БAЛКИ")</f>
        <v>380 ТPEЩИНА ЦEНТPИPУЮЩEЙ БAЛКИ</v>
      </c>
      <c r="AF341" t="str">
        <f ca="1">IFERROR(__xludf.DUMMYFUNCTION("""COMPUTED_VALUE"""),"35 ЛЬВ")</f>
        <v>35 ЛЬВ</v>
      </c>
      <c r="AG341" t="str">
        <f ca="1">IFERROR(__xludf.DUMMYFUNCTION("""COMPUTED_VALUE"""),"35400 КОВЕЛЬ")</f>
        <v>35400 КОВЕЛЬ</v>
      </c>
      <c r="AH341" t="str">
        <f ca="1">IFERROR(__xludf.DUMMYFUNCTION("""COMPUTED_VALUE"""),"11.07.20 16-20")</f>
        <v>11.07.20 16-20</v>
      </c>
      <c r="AI341" s="21">
        <f ca="1">IFERROR(__xludf.DUMMYFUNCTION("""COMPUTED_VALUE"""),44420.357662037)</f>
        <v>44420.357662037</v>
      </c>
    </row>
    <row r="342" spans="1:35" ht="13" x14ac:dyDescent="0.15">
      <c r="A342">
        <f ca="1">IFERROR(__xludf.DUMMYFUNCTION("""COMPUTED_VALUE"""),1252)</f>
        <v>1252</v>
      </c>
      <c r="B342" t="str">
        <f ca="1">IFERROR(__xludf.DUMMYFUNCTION("""COMPUTED_VALUE"""),"Техрейс")</f>
        <v>Техрейс</v>
      </c>
      <c r="C342" t="str">
        <f ca="1">IFERROR(__xludf.DUMMYFUNCTION("""COMPUTED_VALUE"""),"ЮТАЛ-ТРАНС")</f>
        <v>ЮТАЛ-ТРАНС</v>
      </c>
      <c r="D342">
        <f ca="1">IFERROR(__xludf.DUMMYFUNCTION("""COMPUTED_VALUE"""),56597081)</f>
        <v>56597081</v>
      </c>
      <c r="E342" t="str">
        <f ca="1">IFERROR(__xludf.DUMMYFUNCTION("""COMPUTED_VALUE"""),"60 ПОЛУВАГОНЫ")</f>
        <v>60 ПОЛУВАГОНЫ</v>
      </c>
      <c r="F342">
        <f ca="1">IFERROR(__xludf.DUMMYFUNCTION("""COMPUTED_VALUE"""),42103)</f>
        <v>42103</v>
      </c>
      <c r="G342" t="str">
        <f ca="1">IFERROR(__xludf.DUMMYFUNCTION("""COMPUTED_VALUE"""),"ВАГОНЫ ЖД СВ")</f>
        <v>ВАГОНЫ ЖД СВ</v>
      </c>
      <c r="H342">
        <f ca="1">IFERROR(__xludf.DUMMYFUNCTION("""COMPUTED_VALUE"""),0)</f>
        <v>0</v>
      </c>
      <c r="I342">
        <f ca="1">IFERROR(__xludf.DUMMYFUNCTION("""COMPUTED_VALUE"""),5343)</f>
        <v>5343</v>
      </c>
      <c r="J342" t="str">
        <f ca="1">IFERROR(__xludf.DUMMYFUNCTION("""COMPUTED_VALUE"""),"2112 (40050-070-46720) БЕРЕГОВАЯ - КРИВОЙ РОГ")</f>
        <v>2112 (40050-070-46720) БЕРЕГОВАЯ - КРИВОЙ РОГ</v>
      </c>
      <c r="K342">
        <f ca="1">IFERROR(__xludf.DUMMYFUNCTION("""COMPUTED_VALUE"""),46720)</f>
        <v>46720</v>
      </c>
      <c r="L342" t="str">
        <f ca="1">IFERROR(__xludf.DUMMYFUNCTION("""COMPUTED_VALUE"""),"КРИВОЙ РОГ")</f>
        <v>КРИВОЙ РОГ</v>
      </c>
      <c r="M342" t="str">
        <f ca="1">IFERROR(__xludf.DUMMYFUNCTION("""COMPUTED_VALUE"""),"12.08.21 05-16")</f>
        <v>12.08.21 05-16</v>
      </c>
      <c r="N342" t="str">
        <f ca="1">IFERROR(__xludf.DUMMYFUNCTION("""COMPUTED_VALUE"""),"04 РАСФ")</f>
        <v>04 РАСФ</v>
      </c>
      <c r="O342">
        <f ca="1">IFERROR(__xludf.DUMMYFUNCTION("""COMPUTED_VALUE"""),46720)</f>
        <v>46720</v>
      </c>
      <c r="P342" t="str">
        <f ca="1">IFERROR(__xludf.DUMMYFUNCTION("""COMPUTED_VALUE"""),"КРИВОЙ РОГ")</f>
        <v>КРИВОЙ РОГ</v>
      </c>
      <c r="Q342">
        <f ca="1">IFERROR(__xludf.DUMMYFUNCTION("""COMPUTED_VALUE"""),40050)</f>
        <v>40050</v>
      </c>
      <c r="R342" t="str">
        <f ca="1">IFERROR(__xludf.DUMMYFUNCTION("""COMPUTED_VALUE"""),"БЕРЕГОВАЯ")</f>
        <v>БЕРЕГОВАЯ</v>
      </c>
      <c r="S342" t="str">
        <f ca="1">IFERROR(__xludf.DUMMYFUNCTION("""COMPUTED_VALUE"""),"11.08.21 09-35")</f>
        <v>11.08.21 09-35</v>
      </c>
      <c r="T342">
        <f ca="1">IFERROR(__xludf.DUMMYFUNCTION("""COMPUTED_VALUE"""),8200)</f>
        <v>8200</v>
      </c>
      <c r="U342" t="str">
        <f ca="1">IFERROR(__xludf.DUMMYFUNCTION("""COMPUTED_VALUE"""),"01.11.2021 ДР")</f>
        <v>01.11.2021 ДР</v>
      </c>
      <c r="Z342" t="str">
        <f ca="1">IFERROR(__xludf.DUMMYFUNCTION("""COMPUTED_VALUE"""),"ООО ""КОМПАНИЯ ""ЮТАЛ-ТРАНС""")</f>
        <v>ООО "КОМПАНИЯ "ЮТАЛ-ТРАНС"</v>
      </c>
      <c r="AA342" t="str">
        <f ca="1">IFERROR(__xludf.DUMMYFUNCTION("""COMPUTED_VALUE"""),"12-119")</f>
        <v>12-119</v>
      </c>
      <c r="AB342" t="str">
        <f ca="1">IFERROR(__xludf.DUMMYFUNCTION("""COMPUTED_VALUE"""),"48 ДОН")</f>
        <v>48 ДОН</v>
      </c>
      <c r="AC342" t="str">
        <f ca="1">IFERROR(__xludf.DUMMYFUNCTION("""COMPUTED_VALUE"""),"49480 СОЛЬ")</f>
        <v>49480 СОЛЬ</v>
      </c>
      <c r="AD342" t="str">
        <f ca="1">IFERROR(__xludf.DUMMYFUNCTION("""COMPUTED_VALUE"""),"04.04.21 07-00")</f>
        <v>04.04.21 07-00</v>
      </c>
      <c r="AE342" t="str">
        <f ca="1">IFERROR(__xludf.DUMMYFUNCTION("""COMPUTED_VALUE"""),"540 НEИCПPAВНOCТЬ ЗAПOPA ЛЮКA")</f>
        <v>540 НEИCПPAВНOCТЬ ЗAПOPA ЛЮКA</v>
      </c>
      <c r="AF342" t="str">
        <f ca="1">IFERROR(__xludf.DUMMYFUNCTION("""COMPUTED_VALUE"""),"48 ДОН")</f>
        <v>48 ДОН</v>
      </c>
      <c r="AG342" t="str">
        <f ca="1">IFERROR(__xludf.DUMMYFUNCTION("""COMPUTED_VALUE"""),"49480 СОЛЬ")</f>
        <v>49480 СОЛЬ</v>
      </c>
      <c r="AH342" t="str">
        <f ca="1">IFERROR(__xludf.DUMMYFUNCTION("""COMPUTED_VALUE"""),"04.04.21 16-00")</f>
        <v>04.04.21 16-00</v>
      </c>
      <c r="AI342" s="21">
        <f ca="1">IFERROR(__xludf.DUMMYFUNCTION("""COMPUTED_VALUE"""),44420.357662037)</f>
        <v>44420.357662037</v>
      </c>
    </row>
    <row r="343" spans="1:35" ht="13" x14ac:dyDescent="0.15">
      <c r="A343">
        <f ca="1">IFERROR(__xludf.DUMMYFUNCTION("""COMPUTED_VALUE"""),1253)</f>
        <v>1253</v>
      </c>
      <c r="B343" t="str">
        <f ca="1">IFERROR(__xludf.DUMMYFUNCTION("""COMPUTED_VALUE"""),"Техрейс")</f>
        <v>Техрейс</v>
      </c>
      <c r="C343" t="str">
        <f ca="1">IFERROR(__xludf.DUMMYFUNCTION("""COMPUTED_VALUE"""),"ЮТАЛ-ТРАНС")</f>
        <v>ЮТАЛ-ТРАНС</v>
      </c>
      <c r="D343">
        <f ca="1">IFERROR(__xludf.DUMMYFUNCTION("""COMPUTED_VALUE"""),56614423)</f>
        <v>56614423</v>
      </c>
      <c r="E343" t="str">
        <f ca="1">IFERROR(__xludf.DUMMYFUNCTION("""COMPUTED_VALUE"""),"60 ПОЛУВАГОНЫ")</f>
        <v>60 ПОЛУВАГОНЫ</v>
      </c>
      <c r="F343">
        <f ca="1">IFERROR(__xludf.DUMMYFUNCTION("""COMPUTED_VALUE"""),24133)</f>
        <v>24133</v>
      </c>
      <c r="G343" t="str">
        <f ca="1">IFERROR(__xludf.DUMMYFUNCTION("""COMPUTED_VALUE"""),"КАМЕНЬ ИЗВЕСТ")</f>
        <v>КАМЕНЬ ИЗВЕСТ</v>
      </c>
      <c r="H343">
        <f ca="1">IFERROR(__xludf.DUMMYFUNCTION("""COMPUTED_VALUE"""),68)</f>
        <v>68</v>
      </c>
      <c r="I343">
        <f ca="1">IFERROR(__xludf.DUMMYFUNCTION("""COMPUTED_VALUE"""),6832)</f>
        <v>6832</v>
      </c>
      <c r="J343" t="str">
        <f ca="1">IFERROR(__xludf.DUMMYFUNCTION("""COMPUTED_VALUE"""),"3601 (45640-013-45650) ВЕРХОВЦЕВО - ВОЛЬНОГОРСК")</f>
        <v>3601 (45640-013-45650) ВЕРХОВЦЕВО - ВОЛЬНОГОРСК</v>
      </c>
      <c r="K343">
        <f ca="1">IFERROR(__xludf.DUMMYFUNCTION("""COMPUTED_VALUE"""),45650)</f>
        <v>45650</v>
      </c>
      <c r="L343" t="str">
        <f ca="1">IFERROR(__xludf.DUMMYFUNCTION("""COMPUTED_VALUE"""),"ВОЛЬНОГОРСК")</f>
        <v>ВОЛЬНОГОРСК</v>
      </c>
      <c r="M343" t="str">
        <f ca="1">IFERROR(__xludf.DUMMYFUNCTION("""COMPUTED_VALUE"""),"10.08.21 16-45")</f>
        <v>10.08.21 16-45</v>
      </c>
      <c r="N343" t="str">
        <f ca="1">IFERROR(__xludf.DUMMYFUNCTION("""COMPUTED_VALUE"""),"21 ВЫГ2")</f>
        <v>21 ВЫГ2</v>
      </c>
      <c r="O343">
        <f ca="1">IFERROR(__xludf.DUMMYFUNCTION("""COMPUTED_VALUE"""),45650)</f>
        <v>45650</v>
      </c>
      <c r="P343" t="str">
        <f ca="1">IFERROR(__xludf.DUMMYFUNCTION("""COMPUTED_VALUE"""),"ВОЛЬНОГОРСК")</f>
        <v>ВОЛЬНОГОРСК</v>
      </c>
      <c r="Q343">
        <f ca="1">IFERROR(__xludf.DUMMYFUNCTION("""COMPUTED_VALUE"""),41790)</f>
        <v>41790</v>
      </c>
      <c r="R343" t="str">
        <f ca="1">IFERROR(__xludf.DUMMYFUNCTION("""COMPUTED_VALUE"""),"ХЕРСОН-ПОРТ")</f>
        <v>ХЕРСОН-ПОРТ</v>
      </c>
      <c r="S343" t="str">
        <f ca="1">IFERROR(__xludf.DUMMYFUNCTION("""COMPUTED_VALUE"""),"02.08.21 11-05")</f>
        <v>02.08.21 11-05</v>
      </c>
      <c r="U343" t="str">
        <f ca="1">IFERROR(__xludf.DUMMYFUNCTION("""COMPUTED_VALUE"""),"13.03.2022 ДР")</f>
        <v>13.03.2022 ДР</v>
      </c>
      <c r="Z343" t="str">
        <f ca="1">IFERROR(__xludf.DUMMYFUNCTION("""COMPUTED_VALUE"""),"ООО ""КОМПАНИЯ ""ЮТАЛ-ТРАНС""")</f>
        <v>ООО "КОМПАНИЯ "ЮТАЛ-ТРАНС"</v>
      </c>
      <c r="AA343" t="str">
        <f ca="1">IFERROR(__xludf.DUMMYFUNCTION("""COMPUTED_VALUE"""),"12-532")</f>
        <v>12-532</v>
      </c>
      <c r="AB343" t="str">
        <f ca="1">IFERROR(__xludf.DUMMYFUNCTION("""COMPUTED_VALUE"""),"32 Ю-ЗАП")</f>
        <v>32 Ю-ЗАП</v>
      </c>
      <c r="AC343" t="str">
        <f ca="1">IFERROR(__xludf.DUMMYFUNCTION("""COMPUTED_VALUE"""),"33000 ЖМЕРИНКА")</f>
        <v>33000 ЖМЕРИНКА</v>
      </c>
      <c r="AD343" t="str">
        <f ca="1">IFERROR(__xludf.DUMMYFUNCTION("""COMPUTED_VALUE"""),"25.02.21 22-53")</f>
        <v>25.02.21 22-53</v>
      </c>
      <c r="AE343" t="str">
        <f ca="1">IFERROR(__xludf.DUMMYFUNCTION("""COMPUTED_VALUE"""),"540 НEИCПPAВНOCТЬ ЗAПOPA ЛЮКA")</f>
        <v>540 НEИCПPAВНOCТЬ ЗAПOPA ЛЮКA</v>
      </c>
      <c r="AF343" t="str">
        <f ca="1">IFERROR(__xludf.DUMMYFUNCTION("""COMPUTED_VALUE"""),"32 Ю-ЗАП")</f>
        <v>32 Ю-ЗАП</v>
      </c>
      <c r="AG343" t="str">
        <f ca="1">IFERROR(__xludf.DUMMYFUNCTION("""COMPUTED_VALUE"""),"33000 ЖМЕРИНКА")</f>
        <v>33000 ЖМЕРИНКА</v>
      </c>
      <c r="AH343" t="str">
        <f ca="1">IFERROR(__xludf.DUMMYFUNCTION("""COMPUTED_VALUE"""),"03.03.21 18-30")</f>
        <v>03.03.21 18-30</v>
      </c>
      <c r="AI343" s="21">
        <f ca="1">IFERROR(__xludf.DUMMYFUNCTION("""COMPUTED_VALUE"""),44420.357662037)</f>
        <v>44420.357662037</v>
      </c>
    </row>
    <row r="344" spans="1:35" ht="13" x14ac:dyDescent="0.15">
      <c r="A344">
        <f ca="1">IFERROR(__xludf.DUMMYFUNCTION("""COMPUTED_VALUE"""),1254)</f>
        <v>1254</v>
      </c>
      <c r="B344" t="str">
        <f ca="1">IFERROR(__xludf.DUMMYFUNCTION("""COMPUTED_VALUE"""),"Лидер")</f>
        <v>Лидер</v>
      </c>
      <c r="C344" t="str">
        <f ca="1">IFERROR(__xludf.DUMMYFUNCTION("""COMPUTED_VALUE"""),"ЮТАЛ-ТРАНС")</f>
        <v>ЮТАЛ-ТРАНС</v>
      </c>
      <c r="D344">
        <f ca="1">IFERROR(__xludf.DUMMYFUNCTION("""COMPUTED_VALUE"""),56614704)</f>
        <v>56614704</v>
      </c>
      <c r="E344" t="str">
        <f ca="1">IFERROR(__xludf.DUMMYFUNCTION("""COMPUTED_VALUE"""),"60 ПОЛУВАГОНЫ")</f>
        <v>60 ПОЛУВАГОНЫ</v>
      </c>
      <c r="F344">
        <f ca="1">IFERROR(__xludf.DUMMYFUNCTION("""COMPUTED_VALUE"""),42103)</f>
        <v>42103</v>
      </c>
      <c r="G344" t="str">
        <f ca="1">IFERROR(__xludf.DUMMYFUNCTION("""COMPUTED_VALUE"""),"ВАГОНЫ ЖД СВ")</f>
        <v>ВАГОНЫ ЖД СВ</v>
      </c>
      <c r="H344">
        <f ca="1">IFERROR(__xludf.DUMMYFUNCTION("""COMPUTED_VALUE"""),0)</f>
        <v>0</v>
      </c>
      <c r="I344">
        <f ca="1">IFERROR(__xludf.DUMMYFUNCTION("""COMPUTED_VALUE"""),5057)</f>
        <v>5057</v>
      </c>
      <c r="J344" t="str">
        <f ca="1">IFERROR(__xludf.DUMMYFUNCTION("""COMPUTED_VALUE"""),"1111 (44560-110-44020) БАСЫ - ОСНОВА")</f>
        <v>1111 (44560-110-44020) БАСЫ - ОСНОВА</v>
      </c>
      <c r="K344">
        <f ca="1">IFERROR(__xludf.DUMMYFUNCTION("""COMPUTED_VALUE"""),44560)</f>
        <v>44560</v>
      </c>
      <c r="L344" t="str">
        <f ca="1">IFERROR(__xludf.DUMMYFUNCTION("""COMPUTED_VALUE"""),"БАСЫ")</f>
        <v>БАСЫ</v>
      </c>
      <c r="M344" t="str">
        <f ca="1">IFERROR(__xludf.DUMMYFUNCTION("""COMPUTED_VALUE"""),"12.08.21 06-02")</f>
        <v>12.08.21 06-02</v>
      </c>
      <c r="N344" t="str">
        <f ca="1">IFERROR(__xludf.DUMMYFUNCTION("""COMPUTED_VALUE"""),"05 ФОРМ")</f>
        <v>05 ФОРМ</v>
      </c>
      <c r="O344">
        <f ca="1">IFERROR(__xludf.DUMMYFUNCTION("""COMPUTED_VALUE"""),42790)</f>
        <v>42790</v>
      </c>
      <c r="P344" t="str">
        <f ca="1">IFERROR(__xludf.DUMMYFUNCTION("""COMPUTED_VALUE"""),"ЛЕВОБЕРЕЖНАЯ")</f>
        <v>ЛЕВОБЕРЕЖНАЯ</v>
      </c>
      <c r="Q344">
        <f ca="1">IFERROR(__xludf.DUMMYFUNCTION("""COMPUTED_VALUE"""),44520)</f>
        <v>44520</v>
      </c>
      <c r="R344" t="str">
        <f ca="1">IFERROR(__xludf.DUMMYFUNCTION("""COMPUTED_VALUE"""),"ТОРОПИЛОВКА")</f>
        <v>ТОРОПИЛОВКА</v>
      </c>
      <c r="S344" t="str">
        <f ca="1">IFERROR(__xludf.DUMMYFUNCTION("""COMPUTED_VALUE"""),"11.08.21 12-20")</f>
        <v>11.08.21 12-20</v>
      </c>
      <c r="T344">
        <f ca="1">IFERROR(__xludf.DUMMYFUNCTION("""COMPUTED_VALUE"""),2155)</f>
        <v>2155</v>
      </c>
      <c r="U344" t="str">
        <f ca="1">IFERROR(__xludf.DUMMYFUNCTION("""COMPUTED_VALUE"""),"23.10.2023 ДР")</f>
        <v>23.10.2023 ДР</v>
      </c>
      <c r="Z344" t="str">
        <f ca="1">IFERROR(__xludf.DUMMYFUNCTION("""COMPUTED_VALUE"""),"ООО ""КОМПАНИЯ ""ЮТАЛ-ТРАНС""")</f>
        <v>ООО "КОМПАНИЯ "ЮТАЛ-ТРАНС"</v>
      </c>
      <c r="AA344" t="str">
        <f ca="1">IFERROR(__xludf.DUMMYFUNCTION("""COMPUTED_VALUE"""),"12-532")</f>
        <v>12-532</v>
      </c>
      <c r="AB344" t="str">
        <f ca="1">IFERROR(__xludf.DUMMYFUNCTION("""COMPUTED_VALUE"""),"35 ЛЬВ")</f>
        <v>35 ЛЬВ</v>
      </c>
      <c r="AC344" t="str">
        <f ca="1">IFERROR(__xludf.DUMMYFUNCTION("""COMPUTED_VALUE"""),"35000 ЗДОЛБУНОВ")</f>
        <v>35000 ЗДОЛБУНОВ</v>
      </c>
      <c r="AD344" t="str">
        <f ca="1">IFERROR(__xludf.DUMMYFUNCTION("""COMPUTED_VALUE"""),"19.05.21 08-30")</f>
        <v>19.05.21 08-30</v>
      </c>
      <c r="AE344" t="str">
        <f ca="1">IFERROR(__xludf.DUMMYFUNCTION("""COMPUTED_VALUE"""),"310 НEИCПPAВНOCТЬ КOPПУCA AВТОCЦEПКИ")</f>
        <v>310 НEИCПPAВНOCТЬ КOPПУCA AВТОCЦEПКИ</v>
      </c>
      <c r="AF344" t="str">
        <f ca="1">IFERROR(__xludf.DUMMYFUNCTION("""COMPUTED_VALUE"""),"35 ЛЬВ")</f>
        <v>35 ЛЬВ</v>
      </c>
      <c r="AG344" t="str">
        <f ca="1">IFERROR(__xludf.DUMMYFUNCTION("""COMPUTED_VALUE"""),"35000 ЗДОЛБУНОВ")</f>
        <v>35000 ЗДОЛБУНОВ</v>
      </c>
      <c r="AH344" t="str">
        <f ca="1">IFERROR(__xludf.DUMMYFUNCTION("""COMPUTED_VALUE"""),"23.05.21 17-00")</f>
        <v>23.05.21 17-00</v>
      </c>
      <c r="AI344" s="21">
        <f ca="1">IFERROR(__xludf.DUMMYFUNCTION("""COMPUTED_VALUE"""),44420.357662037)</f>
        <v>44420.357662037</v>
      </c>
    </row>
    <row r="345" spans="1:35" ht="13" x14ac:dyDescent="0.15">
      <c r="A345">
        <f ca="1">IFERROR(__xludf.DUMMYFUNCTION("""COMPUTED_VALUE"""),1255)</f>
        <v>1255</v>
      </c>
      <c r="B345" t="str">
        <f ca="1">IFERROR(__xludf.DUMMYFUNCTION("""COMPUTED_VALUE"""),"Подольский цемент")</f>
        <v>Подольский цемент</v>
      </c>
      <c r="C345" t="str">
        <f ca="1">IFERROR(__xludf.DUMMYFUNCTION("""COMPUTED_VALUE"""),"ЮТАЛ-ТРАНС")</f>
        <v>ЮТАЛ-ТРАНС</v>
      </c>
      <c r="D345">
        <f ca="1">IFERROR(__xludf.DUMMYFUNCTION("""COMPUTED_VALUE"""),56619315)</f>
        <v>56619315</v>
      </c>
      <c r="E345" t="str">
        <f ca="1">IFERROR(__xludf.DUMMYFUNCTION("""COMPUTED_VALUE"""),"60 ПОЛУВАГОНЫ")</f>
        <v>60 ПОЛУВАГОНЫ</v>
      </c>
      <c r="F345">
        <f ca="1">IFERROR(__xludf.DUMMYFUNCTION("""COMPUTED_VALUE"""),24500)</f>
        <v>24500</v>
      </c>
      <c r="G345" t="str">
        <f ca="1">IFERROR(__xludf.DUMMYFUNCTION("""COMPUTED_VALUE"""),"КЛИНКЕР ЦЕМЕНТ")</f>
        <v>КЛИНКЕР ЦЕМЕНТ</v>
      </c>
      <c r="H345">
        <f ca="1">IFERROR(__xludf.DUMMYFUNCTION("""COMPUTED_VALUE"""),69)</f>
        <v>69</v>
      </c>
      <c r="I345">
        <f ca="1">IFERROR(__xludf.DUMMYFUNCTION("""COMPUTED_VALUE"""),1489)</f>
        <v>1489</v>
      </c>
      <c r="J345" t="str">
        <f ca="1">IFERROR(__xludf.DUMMYFUNCTION("""COMPUTED_VALUE"""),"3106 (33300-024-37780) ГУМЕНЦЫ - НИКОЛАЕВ-ДН")</f>
        <v>3106 (33300-024-37780) ГУМЕНЦЫ - НИКОЛАЕВ-ДН</v>
      </c>
      <c r="K345">
        <f ca="1">IFERROR(__xludf.DUMMYFUNCTION("""COMPUTED_VALUE"""),33300)</f>
        <v>33300</v>
      </c>
      <c r="L345" t="str">
        <f ca="1">IFERROR(__xludf.DUMMYFUNCTION("""COMPUTED_VALUE"""),"ГУМЕНЦЫ")</f>
        <v>ГУМЕНЦЫ</v>
      </c>
      <c r="M345" t="str">
        <f ca="1">IFERROR(__xludf.DUMMYFUNCTION("""COMPUTED_VALUE"""),"12.08.21 01-30")</f>
        <v>12.08.21 01-30</v>
      </c>
      <c r="N345" t="str">
        <f ca="1">IFERROR(__xludf.DUMMYFUNCTION("""COMPUTED_VALUE"""),"97 ОКОТ")</f>
        <v>97 ОКОТ</v>
      </c>
      <c r="O345">
        <f ca="1">IFERROR(__xludf.DUMMYFUNCTION("""COMPUTED_VALUE"""),37780)</f>
        <v>37780</v>
      </c>
      <c r="P345" t="str">
        <f ca="1">IFERROR(__xludf.DUMMYFUNCTION("""COMPUTED_VALUE"""),"НИКОЛАЕВ-ДН")</f>
        <v>НИКОЛАЕВ-ДН</v>
      </c>
      <c r="Q345">
        <f ca="1">IFERROR(__xludf.DUMMYFUNCTION("""COMPUTED_VALUE"""),33300)</f>
        <v>33300</v>
      </c>
      <c r="R345" t="str">
        <f ca="1">IFERROR(__xludf.DUMMYFUNCTION("""COMPUTED_VALUE"""),"ГУМЕНЦЫ")</f>
        <v>ГУМЕНЦЫ</v>
      </c>
      <c r="S345" t="str">
        <f ca="1">IFERROR(__xludf.DUMMYFUNCTION("""COMPUTED_VALUE"""),"12.08.21 01-30")</f>
        <v>12.08.21 01-30</v>
      </c>
      <c r="T345">
        <f ca="1">IFERROR(__xludf.DUMMYFUNCTION("""COMPUTED_VALUE"""),5268)</f>
        <v>5268</v>
      </c>
      <c r="U345" t="str">
        <f ca="1">IFERROR(__xludf.DUMMYFUNCTION("""COMPUTED_VALUE"""),"29.12.2021 ДР")</f>
        <v>29.12.2021 ДР</v>
      </c>
      <c r="Z345" t="str">
        <f ca="1">IFERROR(__xludf.DUMMYFUNCTION("""COMPUTED_VALUE"""),"ООО ""КОМПАНИЯ ""ЮТАЛ-ТРАНС""")</f>
        <v>ООО "КОМПАНИЯ "ЮТАЛ-ТРАНС"</v>
      </c>
      <c r="AA345" t="str">
        <f ca="1">IFERROR(__xludf.DUMMYFUNCTION("""COMPUTED_VALUE"""),"12-532")</f>
        <v>12-532</v>
      </c>
      <c r="AB345" t="str">
        <f ca="1">IFERROR(__xludf.DUMMYFUNCTION("""COMPUTED_VALUE"""),"45 ПРИДН")</f>
        <v>45 ПРИДН</v>
      </c>
      <c r="AC345" t="str">
        <f ca="1">IFERROR(__xludf.DUMMYFUNCTION("""COMPUTED_VALUE"""),"46700 КРИВ.РОГ-ГЛА")</f>
        <v>46700 КРИВ.РОГ-ГЛА</v>
      </c>
      <c r="AD345" t="str">
        <f ca="1">IFERROR(__xludf.DUMMYFUNCTION("""COMPUTED_VALUE"""),"01.05.21 20-30")</f>
        <v>01.05.21 20-30</v>
      </c>
      <c r="AE345" t="str">
        <f ca="1">IFERROR(__xludf.DUMMYFUNCTION("""COMPUTED_VALUE"""),"503 OБPЫВ CВAPНOГO ШВA CТOЙКИ")</f>
        <v>503 OБPЫВ CВAPНOГO ШВA CТOЙКИ</v>
      </c>
      <c r="AF345" t="str">
        <f ca="1">IFERROR(__xludf.DUMMYFUNCTION("""COMPUTED_VALUE"""),"45 ПРИДН")</f>
        <v>45 ПРИДН</v>
      </c>
      <c r="AG345" t="str">
        <f ca="1">IFERROR(__xludf.DUMMYFUNCTION("""COMPUTED_VALUE"""),"46700 КРИВ.РОГ-ГЛА")</f>
        <v>46700 КРИВ.РОГ-ГЛА</v>
      </c>
      <c r="AH345" t="str">
        <f ca="1">IFERROR(__xludf.DUMMYFUNCTION("""COMPUTED_VALUE"""),"04.05.21 18-05")</f>
        <v>04.05.21 18-05</v>
      </c>
      <c r="AI345" s="21">
        <f ca="1">IFERROR(__xludf.DUMMYFUNCTION("""COMPUTED_VALUE"""),44420.357662037)</f>
        <v>44420.357662037</v>
      </c>
    </row>
    <row r="346" spans="1:35" ht="13" x14ac:dyDescent="0.15">
      <c r="A346">
        <f ca="1">IFERROR(__xludf.DUMMYFUNCTION("""COMPUTED_VALUE"""),1256)</f>
        <v>1256</v>
      </c>
      <c r="B346" t="str">
        <f ca="1">IFERROR(__xludf.DUMMYFUNCTION("""COMPUTED_VALUE"""),"Техрейс")</f>
        <v>Техрейс</v>
      </c>
      <c r="C346" t="str">
        <f ca="1">IFERROR(__xludf.DUMMYFUNCTION("""COMPUTED_VALUE"""),"ЮТАЛ-ТРАНС")</f>
        <v>ЮТАЛ-ТРАНС</v>
      </c>
      <c r="D346">
        <f ca="1">IFERROR(__xludf.DUMMYFUNCTION("""COMPUTED_VALUE"""),56619919)</f>
        <v>56619919</v>
      </c>
      <c r="E346" t="str">
        <f ca="1">IFERROR(__xludf.DUMMYFUNCTION("""COMPUTED_VALUE"""),"60 ПОЛУВАГОНЫ")</f>
        <v>60 ПОЛУВАГОНЫ</v>
      </c>
      <c r="F346">
        <f ca="1">IFERROR(__xludf.DUMMYFUNCTION("""COMPUTED_VALUE"""),42103)</f>
        <v>42103</v>
      </c>
      <c r="G346" t="str">
        <f ca="1">IFERROR(__xludf.DUMMYFUNCTION("""COMPUTED_VALUE"""),"ВАГОНЫ ЖД СВ")</f>
        <v>ВАГОНЫ ЖД СВ</v>
      </c>
      <c r="H346">
        <f ca="1">IFERROR(__xludf.DUMMYFUNCTION("""COMPUTED_VALUE"""),0)</f>
        <v>0</v>
      </c>
      <c r="I346">
        <f ca="1">IFERROR(__xludf.DUMMYFUNCTION("""COMPUTED_VALUE"""),5343)</f>
        <v>5343</v>
      </c>
      <c r="J346" t="str">
        <f ca="1">IFERROR(__xludf.DUMMYFUNCTION("""COMPUTED_VALUE"""),"3551 (46710-320-46720) КРИВ.РОГ-СОР - КРИВОЙ РОГ")</f>
        <v>3551 (46710-320-46720) КРИВ.РОГ-СОР - КРИВОЙ РОГ</v>
      </c>
      <c r="K346">
        <f ca="1">IFERROR(__xludf.DUMMYFUNCTION("""COMPUTED_VALUE"""),46720)</f>
        <v>46720</v>
      </c>
      <c r="L346" t="str">
        <f ca="1">IFERROR(__xludf.DUMMYFUNCTION("""COMPUTED_VALUE"""),"КРИВОЙ РОГ")</f>
        <v>КРИВОЙ РОГ</v>
      </c>
      <c r="M346" t="str">
        <f ca="1">IFERROR(__xludf.DUMMYFUNCTION("""COMPUTED_VALUE"""),"05.08.21 06-30")</f>
        <v>05.08.21 06-30</v>
      </c>
      <c r="N346" t="str">
        <f ca="1">IFERROR(__xludf.DUMMYFUNCTION("""COMPUTED_VALUE"""),"98 ОТОТ")</f>
        <v>98 ОТОТ</v>
      </c>
      <c r="O346">
        <f ca="1">IFERROR(__xludf.DUMMYFUNCTION("""COMPUTED_VALUE"""),46720)</f>
        <v>46720</v>
      </c>
      <c r="P346" t="str">
        <f ca="1">IFERROR(__xludf.DUMMYFUNCTION("""COMPUTED_VALUE"""),"КРИВОЙ РОГ")</f>
        <v>КРИВОЙ РОГ</v>
      </c>
      <c r="Q346">
        <f ca="1">IFERROR(__xludf.DUMMYFUNCTION("""COMPUTED_VALUE"""),40050)</f>
        <v>40050</v>
      </c>
      <c r="R346" t="str">
        <f ca="1">IFERROR(__xludf.DUMMYFUNCTION("""COMPUTED_VALUE"""),"БЕРЕГОВАЯ")</f>
        <v>БЕРЕГОВАЯ</v>
      </c>
      <c r="S346" t="str">
        <f ca="1">IFERROR(__xludf.DUMMYFUNCTION("""COMPUTED_VALUE"""),"31.07.21 05-50")</f>
        <v>31.07.21 05-50</v>
      </c>
      <c r="T346">
        <f ca="1">IFERROR(__xludf.DUMMYFUNCTION("""COMPUTED_VALUE"""),8200)</f>
        <v>8200</v>
      </c>
      <c r="U346" t="str">
        <f ca="1">IFERROR(__xludf.DUMMYFUNCTION("""COMPUTED_VALUE"""),"19.10.2023 ДР")</f>
        <v>19.10.2023 ДР</v>
      </c>
      <c r="Z346" t="str">
        <f ca="1">IFERROR(__xludf.DUMMYFUNCTION("""COMPUTED_VALUE"""),"ООО ""КОМПАНИЯ ""ЮТАЛ-ТРАНС""")</f>
        <v>ООО "КОМПАНИЯ "ЮТАЛ-ТРАНС"</v>
      </c>
      <c r="AA346" t="str">
        <f ca="1">IFERROR(__xludf.DUMMYFUNCTION("""COMPUTED_VALUE"""),"12-119")</f>
        <v>12-119</v>
      </c>
      <c r="AB346" t="str">
        <f ca="1">IFERROR(__xludf.DUMMYFUNCTION("""COMPUTED_VALUE"""),"32 Ю-ЗАП")</f>
        <v>32 Ю-ЗАП</v>
      </c>
      <c r="AC346" t="str">
        <f ca="1">IFERROR(__xludf.DUMMYFUNCTION("""COMPUTED_VALUE"""),"33000 ЖМЕРИНКА")</f>
        <v>33000 ЖМЕРИНКА</v>
      </c>
      <c r="AD346" t="str">
        <f ca="1">IFERROR(__xludf.DUMMYFUNCTION("""COMPUTED_VALUE"""),"23.06.21 06-05")</f>
        <v>23.06.21 06-05</v>
      </c>
      <c r="AE346" t="str">
        <f ca="1">IFERROR(__xludf.DUMMYFUNCTION("""COMPUTED_VALUE"""),"410 НЕИСПРАВНОСТЬ ТРОЙНИКА")</f>
        <v>410 НЕИСПРАВНОСТЬ ТРОЙНИКА</v>
      </c>
      <c r="AF346" t="str">
        <f ca="1">IFERROR(__xludf.DUMMYFUNCTION("""COMPUTED_VALUE"""),"32 Ю-ЗАП")</f>
        <v>32 Ю-ЗАП</v>
      </c>
      <c r="AG346" t="str">
        <f ca="1">IFERROR(__xludf.DUMMYFUNCTION("""COMPUTED_VALUE"""),"33000 ЖМЕРИНКА")</f>
        <v>33000 ЖМЕРИНКА</v>
      </c>
      <c r="AH346" t="str">
        <f ca="1">IFERROR(__xludf.DUMMYFUNCTION("""COMPUTED_VALUE"""),"29.06.21 17-40")</f>
        <v>29.06.21 17-40</v>
      </c>
      <c r="AI346" s="21">
        <f ca="1">IFERROR(__xludf.DUMMYFUNCTION("""COMPUTED_VALUE"""),44420.357662037)</f>
        <v>44420.357662037</v>
      </c>
    </row>
    <row r="347" spans="1:35" ht="13" x14ac:dyDescent="0.15">
      <c r="A347">
        <f ca="1">IFERROR(__xludf.DUMMYFUNCTION("""COMPUTED_VALUE"""),1257)</f>
        <v>1257</v>
      </c>
      <c r="B347" t="str">
        <f ca="1">IFERROR(__xludf.DUMMYFUNCTION("""COMPUTED_VALUE"""),"Техрейс")</f>
        <v>Техрейс</v>
      </c>
      <c r="C347" t="str">
        <f ca="1">IFERROR(__xludf.DUMMYFUNCTION("""COMPUTED_VALUE"""),"ЮТАЛ-ТРАНС")</f>
        <v>ЮТАЛ-ТРАНС</v>
      </c>
      <c r="D347">
        <f ca="1">IFERROR(__xludf.DUMMYFUNCTION("""COMPUTED_VALUE"""),56626500)</f>
        <v>56626500</v>
      </c>
      <c r="E347" t="str">
        <f ca="1">IFERROR(__xludf.DUMMYFUNCTION("""COMPUTED_VALUE"""),"60 ПОЛУВАГОНЫ")</f>
        <v>60 ПОЛУВАГОНЫ</v>
      </c>
      <c r="F347">
        <f ca="1">IFERROR(__xludf.DUMMYFUNCTION("""COMPUTED_VALUE"""),23239)</f>
        <v>23239</v>
      </c>
      <c r="G347" t="str">
        <f ca="1">IFERROR(__xludf.DUMMYFUNCTION("""COMPUTED_VALUE"""),"ЩЕБЕНЬ ГРАНИТ")</f>
        <v>ЩЕБЕНЬ ГРАНИТ</v>
      </c>
      <c r="H347">
        <f ca="1">IFERROR(__xludf.DUMMYFUNCTION("""COMPUTED_VALUE"""),69)</f>
        <v>69</v>
      </c>
      <c r="I347">
        <f ca="1">IFERROR(__xludf.DUMMYFUNCTION("""COMPUTED_VALUE"""),3106)</f>
        <v>3106</v>
      </c>
      <c r="J347" t="str">
        <f ca="1">IFERROR(__xludf.DUMMYFUNCTION("""COMPUTED_VALUE"""),"3510 (44020-157-44000) ОСНОВА - ХАРЬКОВ-СОРТ")</f>
        <v>3510 (44020-157-44000) ОСНОВА - ХАРЬКОВ-СОРТ</v>
      </c>
      <c r="K347">
        <f ca="1">IFERROR(__xludf.DUMMYFUNCTION("""COMPUTED_VALUE"""),44000)</f>
        <v>44000</v>
      </c>
      <c r="L347" t="str">
        <f ca="1">IFERROR(__xludf.DUMMYFUNCTION("""COMPUTED_VALUE"""),"ХАРЬКОВ-СОРТ")</f>
        <v>ХАРЬКОВ-СОРТ</v>
      </c>
      <c r="M347" t="str">
        <f ca="1">IFERROR(__xludf.DUMMYFUNCTION("""COMPUTED_VALUE"""),"10.08.21 09-25")</f>
        <v>10.08.21 09-25</v>
      </c>
      <c r="N347" t="str">
        <f ca="1">IFERROR(__xludf.DUMMYFUNCTION("""COMPUTED_VALUE"""),"98 ОТОТ")</f>
        <v>98 ОТОТ</v>
      </c>
      <c r="O347">
        <f ca="1">IFERROR(__xludf.DUMMYFUNCTION("""COMPUTED_VALUE"""),44000)</f>
        <v>44000</v>
      </c>
      <c r="P347" t="str">
        <f ca="1">IFERROR(__xludf.DUMMYFUNCTION("""COMPUTED_VALUE"""),"ХАРЬКОВ-СОРТ")</f>
        <v>ХАРЬКОВ-СОРТ</v>
      </c>
      <c r="Q347">
        <f ca="1">IFERROR(__xludf.DUMMYFUNCTION("""COMPUTED_VALUE"""),42500)</f>
        <v>42500</v>
      </c>
      <c r="R347" t="str">
        <f ca="1">IFERROR(__xludf.DUMMYFUNCTION("""COMPUTED_VALUE"""),"КРЕМЕНЧУГ")</f>
        <v>КРЕМЕНЧУГ</v>
      </c>
      <c r="S347" t="str">
        <f ca="1">IFERROR(__xludf.DUMMYFUNCTION("""COMPUTED_VALUE"""),"08.08.21 17-40")</f>
        <v>08.08.21 17-40</v>
      </c>
      <c r="T347">
        <f ca="1">IFERROR(__xludf.DUMMYFUNCTION("""COMPUTED_VALUE"""),4305)</f>
        <v>4305</v>
      </c>
      <c r="U347" t="str">
        <f ca="1">IFERROR(__xludf.DUMMYFUNCTION("""COMPUTED_VALUE"""),"18.10.2021 ДР")</f>
        <v>18.10.2021 ДР</v>
      </c>
      <c r="Z347" t="str">
        <f ca="1">IFERROR(__xludf.DUMMYFUNCTION("""COMPUTED_VALUE"""),"ООО ""КОМПАНИЯ ""ЮТАЛ-ТРАНС""")</f>
        <v>ООО "КОМПАНИЯ "ЮТАЛ-ТРАНС"</v>
      </c>
      <c r="AA347" t="str">
        <f ca="1">IFERROR(__xludf.DUMMYFUNCTION("""COMPUTED_VALUE"""),"12-532")</f>
        <v>12-532</v>
      </c>
      <c r="AB347" t="str">
        <f ca="1">IFERROR(__xludf.DUMMYFUNCTION("""COMPUTED_VALUE"""),"40 ОД")</f>
        <v>40 ОД</v>
      </c>
      <c r="AC347" t="str">
        <f ca="1">IFERROR(__xludf.DUMMYFUNCTION("""COMPUTED_VALUE"""),"41000 ЗНАМЕНКА")</f>
        <v>41000 ЗНАМЕНКА</v>
      </c>
      <c r="AD347" t="str">
        <f ca="1">IFERROR(__xludf.DUMMYFUNCTION("""COMPUTED_VALUE"""),"28.07.21 06-10")</f>
        <v>28.07.21 06-10</v>
      </c>
      <c r="AE347" t="str">
        <f ca="1">IFERROR(__xludf.DUMMYFUNCTION("""COMPUTED_VALUE"""),"531 ПOВPEЖДEНИE OБШИВКИ КУЗOВA")</f>
        <v>531 ПOВPEЖДEНИE OБШИВКИ КУЗOВA</v>
      </c>
      <c r="AF347" t="str">
        <f ca="1">IFERROR(__xludf.DUMMYFUNCTION("""COMPUTED_VALUE"""),"40 ОД")</f>
        <v>40 ОД</v>
      </c>
      <c r="AG347" t="str">
        <f ca="1">IFERROR(__xludf.DUMMYFUNCTION("""COMPUTED_VALUE"""),"41000 ЗНАМЕНКА")</f>
        <v>41000 ЗНАМЕНКА</v>
      </c>
      <c r="AH347" t="str">
        <f ca="1">IFERROR(__xludf.DUMMYFUNCTION("""COMPUTED_VALUE"""),"02.08.21 14-10")</f>
        <v>02.08.21 14-10</v>
      </c>
      <c r="AI347" s="21">
        <f ca="1">IFERROR(__xludf.DUMMYFUNCTION("""COMPUTED_VALUE"""),44420.357662037)</f>
        <v>44420.357662037</v>
      </c>
    </row>
    <row r="348" spans="1:35" ht="13" x14ac:dyDescent="0.15">
      <c r="A348">
        <f ca="1">IFERROR(__xludf.DUMMYFUNCTION("""COMPUTED_VALUE"""),1258)</f>
        <v>1258</v>
      </c>
      <c r="B348" t="str">
        <f ca="1">IFERROR(__xludf.DUMMYFUNCTION("""COMPUTED_VALUE"""),"Техрейс")</f>
        <v>Техрейс</v>
      </c>
      <c r="C348" t="str">
        <f ca="1">IFERROR(__xludf.DUMMYFUNCTION("""COMPUTED_VALUE"""),"ЮТАЛ-ТРАНС")</f>
        <v>ЮТАЛ-ТРАНС</v>
      </c>
      <c r="D348">
        <f ca="1">IFERROR(__xludf.DUMMYFUNCTION("""COMPUTED_VALUE"""),56628985)</f>
        <v>56628985</v>
      </c>
      <c r="E348" t="str">
        <f ca="1">IFERROR(__xludf.DUMMYFUNCTION("""COMPUTED_VALUE"""),"60 ПОЛУВАГОНЫ")</f>
        <v>60 ПОЛУВАГОНЫ</v>
      </c>
      <c r="F348">
        <f ca="1">IFERROR(__xludf.DUMMYFUNCTION("""COMPUTED_VALUE"""),42103)</f>
        <v>42103</v>
      </c>
      <c r="G348" t="str">
        <f ca="1">IFERROR(__xludf.DUMMYFUNCTION("""COMPUTED_VALUE"""),"ВАГОНЫ ЖД СВ")</f>
        <v>ВАГОНЫ ЖД СВ</v>
      </c>
      <c r="H348">
        <f ca="1">IFERROR(__xludf.DUMMYFUNCTION("""COMPUTED_VALUE"""),0)</f>
        <v>0</v>
      </c>
      <c r="I348">
        <f ca="1">IFERROR(__xludf.DUMMYFUNCTION("""COMPUTED_VALUE"""),4305)</f>
        <v>4305</v>
      </c>
      <c r="J348" t="str">
        <f ca="1">IFERROR(__xludf.DUMMYFUNCTION("""COMPUTED_VALUE"""),"4832 (42800-008-42500) СВЕТЛОВОДСК - КРЕМЕНЧУГ")</f>
        <v>4832 (42800-008-42500) СВЕТЛОВОДСК - КРЕМЕНЧУГ</v>
      </c>
      <c r="K348">
        <f ca="1">IFERROR(__xludf.DUMMYFUNCTION("""COMPUTED_VALUE"""),42800)</f>
        <v>42800</v>
      </c>
      <c r="L348" t="str">
        <f ca="1">IFERROR(__xludf.DUMMYFUNCTION("""COMPUTED_VALUE"""),"СВЕТЛОВОДСК")</f>
        <v>СВЕТЛОВОДСК</v>
      </c>
      <c r="M348" t="str">
        <f ca="1">IFERROR(__xludf.DUMMYFUNCTION("""COMPUTED_VALUE"""),"10.08.21 15-11")</f>
        <v>10.08.21 15-11</v>
      </c>
      <c r="N348" t="str">
        <f ca="1">IFERROR(__xludf.DUMMYFUNCTION("""COMPUTED_VALUE"""),"71 ПРИЦ")</f>
        <v>71 ПРИЦ</v>
      </c>
      <c r="O348">
        <f ca="1">IFERROR(__xludf.DUMMYFUNCTION("""COMPUTED_VALUE"""),42500)</f>
        <v>42500</v>
      </c>
      <c r="P348" t="str">
        <f ca="1">IFERROR(__xludf.DUMMYFUNCTION("""COMPUTED_VALUE"""),"КРЕМЕНЧУГ")</f>
        <v>КРЕМЕНЧУГ</v>
      </c>
      <c r="Q348">
        <f ca="1">IFERROR(__xludf.DUMMYFUNCTION("""COMPUTED_VALUE"""),42800)</f>
        <v>42800</v>
      </c>
      <c r="R348" t="str">
        <f ca="1">IFERROR(__xludf.DUMMYFUNCTION("""COMPUTED_VALUE"""),"СВЕТЛОВОДСК")</f>
        <v>СВЕТЛОВОДСК</v>
      </c>
      <c r="S348" t="str">
        <f ca="1">IFERROR(__xludf.DUMMYFUNCTION("""COMPUTED_VALUE"""),"10.08.21 11-00")</f>
        <v>10.08.21 11-00</v>
      </c>
      <c r="T348">
        <f ca="1">IFERROR(__xludf.DUMMYFUNCTION("""COMPUTED_VALUE"""),8200)</f>
        <v>8200</v>
      </c>
      <c r="U348" t="str">
        <f ca="1">IFERROR(__xludf.DUMMYFUNCTION("""COMPUTED_VALUE"""),"21.07.2024 ДР")</f>
        <v>21.07.2024 ДР</v>
      </c>
      <c r="Z348" t="str">
        <f ca="1">IFERROR(__xludf.DUMMYFUNCTION("""COMPUTED_VALUE"""),"ООО ""КОМПАНИЯ ""ЮТАЛ-ТРАНС""")</f>
        <v>ООО "КОМПАНИЯ "ЮТАЛ-ТРАНС"</v>
      </c>
      <c r="AA348" t="str">
        <f ca="1">IFERROR(__xludf.DUMMYFUNCTION("""COMPUTED_VALUE"""),"12-119")</f>
        <v>12-119</v>
      </c>
      <c r="AB348" t="str">
        <f ca="1">IFERROR(__xludf.DUMMYFUNCTION("""COMPUTED_VALUE"""),"32 Ю-ЗАП")</f>
        <v>32 Ю-ЗАП</v>
      </c>
      <c r="AC348" t="str">
        <f ca="1">IFERROR(__xludf.DUMMYFUNCTION("""COMPUTED_VALUE"""),"33000 ЖМЕРИНКА")</f>
        <v>33000 ЖМЕРИНКА</v>
      </c>
      <c r="AD348" t="str">
        <f ca="1">IFERROR(__xludf.DUMMYFUNCTION("""COMPUTED_VALUE"""),"15.07.21 10-20")</f>
        <v>15.07.21 10-20</v>
      </c>
      <c r="AE348" t="str">
        <f ca="1">IFERROR(__xludf.DUMMYFUNCTION("""COMPUTED_VALUE"""),"571 ИCТEК КAЛЕНДАРНЫЙ CPOК КAПИТAЛЬНОГО PEМOНТA")</f>
        <v>571 ИCТEК КAЛЕНДАРНЫЙ CPOК КAПИТAЛЬНОГО PEМOНТA</v>
      </c>
      <c r="AF348" t="str">
        <f ca="1">IFERROR(__xludf.DUMMYFUNCTION("""COMPUTED_VALUE"""),"32 Ю-ЗАП")</f>
        <v>32 Ю-ЗАП</v>
      </c>
      <c r="AG348" t="str">
        <f ca="1">IFERROR(__xludf.DUMMYFUNCTION("""COMPUTED_VALUE"""),"33000 ЖМЕРИНКА")</f>
        <v>33000 ЖМЕРИНКА</v>
      </c>
      <c r="AH348" t="str">
        <f ca="1">IFERROR(__xludf.DUMMYFUNCTION("""COMPUTED_VALUE"""),"21.07.21 16-03")</f>
        <v>21.07.21 16-03</v>
      </c>
      <c r="AI348" s="21">
        <f ca="1">IFERROR(__xludf.DUMMYFUNCTION("""COMPUTED_VALUE"""),44420.357662037)</f>
        <v>44420.357662037</v>
      </c>
    </row>
    <row r="349" spans="1:35" ht="13" x14ac:dyDescent="0.15">
      <c r="A349">
        <f ca="1">IFERROR(__xludf.DUMMYFUNCTION("""COMPUTED_VALUE"""),1259)</f>
        <v>1259</v>
      </c>
      <c r="B349" t="str">
        <f ca="1">IFERROR(__xludf.DUMMYFUNCTION("""COMPUTED_VALUE"""),"Лидер")</f>
        <v>Лидер</v>
      </c>
      <c r="C349" t="str">
        <f ca="1">IFERROR(__xludf.DUMMYFUNCTION("""COMPUTED_VALUE"""),"ЮТАЛ-ТРАНС")</f>
        <v>ЮТАЛ-ТРАНС</v>
      </c>
      <c r="D349">
        <f ca="1">IFERROR(__xludf.DUMMYFUNCTION("""COMPUTED_VALUE"""),58332958)</f>
        <v>58332958</v>
      </c>
      <c r="E349" t="str">
        <f ca="1">IFERROR(__xludf.DUMMYFUNCTION("""COMPUTED_VALUE"""),"60 ПОЛУВАГОНЫ")</f>
        <v>60 ПОЛУВАГОНЫ</v>
      </c>
      <c r="F349">
        <f ca="1">IFERROR(__xludf.DUMMYFUNCTION("""COMPUTED_VALUE"""),42103)</f>
        <v>42103</v>
      </c>
      <c r="G349" t="str">
        <f ca="1">IFERROR(__xludf.DUMMYFUNCTION("""COMPUTED_VALUE"""),"ВАГОНЫ ЖД СВ")</f>
        <v>ВАГОНЫ ЖД СВ</v>
      </c>
      <c r="H349">
        <f ca="1">IFERROR(__xludf.DUMMYFUNCTION("""COMPUTED_VALUE"""),0)</f>
        <v>0</v>
      </c>
      <c r="I349">
        <f ca="1">IFERROR(__xludf.DUMMYFUNCTION("""COMPUTED_VALUE"""),3437)</f>
        <v>3437</v>
      </c>
      <c r="J349" t="str">
        <f ca="1">IFERROR(__xludf.DUMMYFUNCTION("""COMPUTED_VALUE"""),"2511 (32000-595-34750) ДАРНИЦА - ПЕНИЗЕВИЧИ")</f>
        <v>2511 (32000-595-34750) ДАРНИЦА - ПЕНИЗЕВИЧИ</v>
      </c>
      <c r="K349">
        <f ca="1">IFERROR(__xludf.DUMMYFUNCTION("""COMPUTED_VALUE"""),34750)</f>
        <v>34750</v>
      </c>
      <c r="L349" t="str">
        <f ca="1">IFERROR(__xludf.DUMMYFUNCTION("""COMPUTED_VALUE"""),"ПЕНИЗЕВИЧИ")</f>
        <v>ПЕНИЗЕВИЧИ</v>
      </c>
      <c r="M349" t="str">
        <f ca="1">IFERROR(__xludf.DUMMYFUNCTION("""COMPUTED_VALUE"""),"12.08.21 07-50")</f>
        <v>12.08.21 07-50</v>
      </c>
      <c r="N349" t="str">
        <f ca="1">IFERROR(__xludf.DUMMYFUNCTION("""COMPUTED_VALUE"""),"98 ОТОТ")</f>
        <v>98 ОТОТ</v>
      </c>
      <c r="O349">
        <f ca="1">IFERROR(__xludf.DUMMYFUNCTION("""COMPUTED_VALUE"""),34750)</f>
        <v>34750</v>
      </c>
      <c r="P349" t="str">
        <f ca="1">IFERROR(__xludf.DUMMYFUNCTION("""COMPUTED_VALUE"""),"ПЕНИЗЕВИЧИ")</f>
        <v>ПЕНИЗЕВИЧИ</v>
      </c>
      <c r="Q349">
        <f ca="1">IFERROR(__xludf.DUMMYFUNCTION("""COMPUTED_VALUE"""),49870)</f>
        <v>49870</v>
      </c>
      <c r="R349" t="str">
        <f ca="1">IFERROR(__xludf.DUMMYFUNCTION("""COMPUTED_VALUE"""),"РУБЕЖНОЕ")</f>
        <v>РУБЕЖНОЕ</v>
      </c>
      <c r="S349" t="str">
        <f ca="1">IFERROR(__xludf.DUMMYFUNCTION("""COMPUTED_VALUE"""),"04.08.21 13-30")</f>
        <v>04.08.21 13-30</v>
      </c>
      <c r="T349">
        <f ca="1">IFERROR(__xludf.DUMMYFUNCTION("""COMPUTED_VALUE"""),2992)</f>
        <v>2992</v>
      </c>
      <c r="U349" t="str">
        <f ca="1">IFERROR(__xludf.DUMMYFUNCTION("""COMPUTED_VALUE"""),"21.07.2023 КР")</f>
        <v>21.07.2023 КР</v>
      </c>
      <c r="Z349" t="str">
        <f ca="1">IFERROR(__xludf.DUMMYFUNCTION("""COMPUTED_VALUE"""),"ООО ""КОМПАНИЯ ""ЮТАЛ-ТРАНС""")</f>
        <v>ООО "КОМПАНИЯ "ЮТАЛ-ТРАНС"</v>
      </c>
      <c r="AA349" t="str">
        <f ca="1">IFERROR(__xludf.DUMMYFUNCTION("""COMPUTED_VALUE"""),"12-9790")</f>
        <v>12-9790</v>
      </c>
      <c r="AB349" t="str">
        <f ca="1">IFERROR(__xludf.DUMMYFUNCTION("""COMPUTED_VALUE"""),"48 ДОН")</f>
        <v>48 ДОН</v>
      </c>
      <c r="AC349" t="str">
        <f ca="1">IFERROR(__xludf.DUMMYFUNCTION("""COMPUTED_VALUE"""),"49480 СОЛЬ")</f>
        <v>49480 СОЛЬ</v>
      </c>
      <c r="AD349" t="str">
        <f ca="1">IFERROR(__xludf.DUMMYFUNCTION("""COMPUTED_VALUE"""),"21.02.21 11-35")</f>
        <v>21.02.21 11-35</v>
      </c>
      <c r="AE349" t="str">
        <f ca="1">IFERROR(__xludf.DUMMYFUNCTION("""COMPUTED_VALUE"""),"540 НEИCПPAВНOCТЬ ЗAПOPA ЛЮКA")</f>
        <v>540 НEИCПPAВНOCТЬ ЗAПOPA ЛЮКA</v>
      </c>
      <c r="AF349" t="str">
        <f ca="1">IFERROR(__xludf.DUMMYFUNCTION("""COMPUTED_VALUE"""),"48 ДОН")</f>
        <v>48 ДОН</v>
      </c>
      <c r="AG349" t="str">
        <f ca="1">IFERROR(__xludf.DUMMYFUNCTION("""COMPUTED_VALUE"""),"49480 СОЛЬ")</f>
        <v>49480 СОЛЬ</v>
      </c>
      <c r="AH349" t="str">
        <f ca="1">IFERROR(__xludf.DUMMYFUNCTION("""COMPUTED_VALUE"""),"23.02.21 13-00")</f>
        <v>23.02.21 13-00</v>
      </c>
      <c r="AI349" s="21">
        <f ca="1">IFERROR(__xludf.DUMMYFUNCTION("""COMPUTED_VALUE"""),44420.357662037)</f>
        <v>44420.357662037</v>
      </c>
    </row>
    <row r="350" spans="1:35" ht="13" x14ac:dyDescent="0.15">
      <c r="A350">
        <f ca="1">IFERROR(__xludf.DUMMYFUNCTION("""COMPUTED_VALUE"""),1261)</f>
        <v>1261</v>
      </c>
      <c r="B350" t="str">
        <f ca="1">IFERROR(__xludf.DUMMYFUNCTION("""COMPUTED_VALUE"""),"Техрейс")</f>
        <v>Техрейс</v>
      </c>
      <c r="C350" t="str">
        <f ca="1">IFERROR(__xludf.DUMMYFUNCTION("""COMPUTED_VALUE"""),"ЮТАЛ-ТРАНС")</f>
        <v>ЮТАЛ-ТРАНС</v>
      </c>
      <c r="D350">
        <f ca="1">IFERROR(__xludf.DUMMYFUNCTION("""COMPUTED_VALUE"""),58335472)</f>
        <v>58335472</v>
      </c>
      <c r="E350" t="str">
        <f ca="1">IFERROR(__xludf.DUMMYFUNCTION("""COMPUTED_VALUE"""),"60 ПОЛУВАГОНЫ")</f>
        <v>60 ПОЛУВАГОНЫ</v>
      </c>
      <c r="F350">
        <f ca="1">IFERROR(__xludf.DUMMYFUNCTION("""COMPUTED_VALUE"""),42103)</f>
        <v>42103</v>
      </c>
      <c r="G350" t="str">
        <f ca="1">IFERROR(__xludf.DUMMYFUNCTION("""COMPUTED_VALUE"""),"ВАГОНЫ ЖД СВ")</f>
        <v>ВАГОНЫ ЖД СВ</v>
      </c>
      <c r="H350">
        <f ca="1">IFERROR(__xludf.DUMMYFUNCTION("""COMPUTED_VALUE"""),0)</f>
        <v>0</v>
      </c>
      <c r="I350">
        <f ca="1">IFERROR(__xludf.DUMMYFUNCTION("""COMPUTED_VALUE"""),5343)</f>
        <v>5343</v>
      </c>
      <c r="J350" t="str">
        <f ca="1">IFERROR(__xludf.DUMMYFUNCTION("""COMPUTED_VALUE"""),"3501 (46720-472-40060) КРИВОЙ РОГ - БЕРЕГОВАЯ-Э")</f>
        <v>3501 (46720-472-40060) КРИВОЙ РОГ - БЕРЕГОВАЯ-Э</v>
      </c>
      <c r="K350">
        <f ca="1">IFERROR(__xludf.DUMMYFUNCTION("""COMPUTED_VALUE"""),46720)</f>
        <v>46720</v>
      </c>
      <c r="L350" t="str">
        <f ca="1">IFERROR(__xludf.DUMMYFUNCTION("""COMPUTED_VALUE"""),"КРИВОЙ РОГ")</f>
        <v>КРИВОЙ РОГ</v>
      </c>
      <c r="M350" t="str">
        <f ca="1">IFERROR(__xludf.DUMMYFUNCTION("""COMPUTED_VALUE"""),"11.08.21 23-55")</f>
        <v>11.08.21 23-55</v>
      </c>
      <c r="N350" t="str">
        <f ca="1">IFERROR(__xludf.DUMMYFUNCTION("""COMPUTED_VALUE"""),"98 ОТОТ")</f>
        <v>98 ОТОТ</v>
      </c>
      <c r="O350">
        <f ca="1">IFERROR(__xludf.DUMMYFUNCTION("""COMPUTED_VALUE"""),46720)</f>
        <v>46720</v>
      </c>
      <c r="P350" t="str">
        <f ca="1">IFERROR(__xludf.DUMMYFUNCTION("""COMPUTED_VALUE"""),"КРИВОЙ РОГ")</f>
        <v>КРИВОЙ РОГ</v>
      </c>
      <c r="Q350">
        <f ca="1">IFERROR(__xludf.DUMMYFUNCTION("""COMPUTED_VALUE"""),40050)</f>
        <v>40050</v>
      </c>
      <c r="R350" t="str">
        <f ca="1">IFERROR(__xludf.DUMMYFUNCTION("""COMPUTED_VALUE"""),"БЕРЕГОВАЯ")</f>
        <v>БЕРЕГОВАЯ</v>
      </c>
      <c r="S350" t="str">
        <f ca="1">IFERROR(__xludf.DUMMYFUNCTION("""COMPUTED_VALUE"""),"10.08.21 16-55")</f>
        <v>10.08.21 16-55</v>
      </c>
      <c r="T350">
        <f ca="1">IFERROR(__xludf.DUMMYFUNCTION("""COMPUTED_VALUE"""),8200)</f>
        <v>8200</v>
      </c>
      <c r="U350" t="str">
        <f ca="1">IFERROR(__xludf.DUMMYFUNCTION("""COMPUTED_VALUE"""),"31.08.2023 КР")</f>
        <v>31.08.2023 КР</v>
      </c>
      <c r="Z350" t="str">
        <f ca="1">IFERROR(__xludf.DUMMYFUNCTION("""COMPUTED_VALUE"""),"ООО ""КОМПАНИЯ ""ЮТАЛ-ТРАНС""")</f>
        <v>ООО "КОМПАНИЯ "ЮТАЛ-ТРАНС"</v>
      </c>
      <c r="AA350" t="str">
        <f ca="1">IFERROR(__xludf.DUMMYFUNCTION("""COMPUTED_VALUE"""),"12-9790")</f>
        <v>12-9790</v>
      </c>
      <c r="AB350" t="str">
        <f ca="1">IFERROR(__xludf.DUMMYFUNCTION("""COMPUTED_VALUE"""),"45 ПРИДН")</f>
        <v>45 ПРИДН</v>
      </c>
      <c r="AC350" t="str">
        <f ca="1">IFERROR(__xludf.DUMMYFUNCTION("""COMPUTED_VALUE"""),"46720 КРИВОЙ РОГ")</f>
        <v>46720 КРИВОЙ РОГ</v>
      </c>
      <c r="AD350" t="str">
        <f ca="1">IFERROR(__xludf.DUMMYFUNCTION("""COMPUTED_VALUE"""),"23.07.21 20-05")</f>
        <v>23.07.21 20-05</v>
      </c>
      <c r="AE35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50" t="str">
        <f ca="1">IFERROR(__xludf.DUMMYFUNCTION("""COMPUTED_VALUE"""),"45 ПРИДН")</f>
        <v>45 ПРИДН</v>
      </c>
      <c r="AG350" t="str">
        <f ca="1">IFERROR(__xludf.DUMMYFUNCTION("""COMPUTED_VALUE"""),"46720 КРИВОЙ РОГ")</f>
        <v>46720 КРИВОЙ РОГ</v>
      </c>
      <c r="AH350" t="str">
        <f ca="1">IFERROR(__xludf.DUMMYFUNCTION("""COMPUTED_VALUE"""),"24.07.21 19-00")</f>
        <v>24.07.21 19-00</v>
      </c>
      <c r="AI350" s="21">
        <f ca="1">IFERROR(__xludf.DUMMYFUNCTION("""COMPUTED_VALUE"""),44420.357662037)</f>
        <v>44420.357662037</v>
      </c>
    </row>
    <row r="351" spans="1:35" ht="13" x14ac:dyDescent="0.15">
      <c r="A351">
        <f ca="1">IFERROR(__xludf.DUMMYFUNCTION("""COMPUTED_VALUE"""),1270)</f>
        <v>1270</v>
      </c>
      <c r="B351" t="str">
        <f ca="1">IFERROR(__xludf.DUMMYFUNCTION("""COMPUTED_VALUE"""),"Гран Инвест")</f>
        <v>Гран Инвест</v>
      </c>
      <c r="C351" t="str">
        <f ca="1">IFERROR(__xludf.DUMMYFUNCTION("""COMPUTED_VALUE"""),"ЕУ-Транс")</f>
        <v>ЕУ-Транс</v>
      </c>
      <c r="D351">
        <f ca="1">IFERROR(__xludf.DUMMYFUNCTION("""COMPUTED_VALUE"""),56730849)</f>
        <v>56730849</v>
      </c>
      <c r="E351" t="str">
        <f ca="1">IFERROR(__xludf.DUMMYFUNCTION("""COMPUTED_VALUE"""),"68 ГЛУХОДОННЫЕ")</f>
        <v>68 ГЛУХОДОННЫЕ</v>
      </c>
      <c r="F351">
        <f ca="1">IFERROR(__xludf.DUMMYFUNCTION("""COMPUTED_VALUE"""),42103)</f>
        <v>42103</v>
      </c>
      <c r="G351" t="str">
        <f ca="1">IFERROR(__xludf.DUMMYFUNCTION("""COMPUTED_VALUE"""),"ВАГОНЫ ЖД СВ")</f>
        <v>ВАГОНЫ ЖД СВ</v>
      </c>
      <c r="H351">
        <f ca="1">IFERROR(__xludf.DUMMYFUNCTION("""COMPUTED_VALUE"""),0)</f>
        <v>0</v>
      </c>
      <c r="I351">
        <f ca="1">IFERROR(__xludf.DUMMYFUNCTION("""COMPUTED_VALUE"""),8537)</f>
        <v>8537</v>
      </c>
      <c r="J351" t="str">
        <f ca="1">IFERROR(__xludf.DUMMYFUNCTION("""COMPUTED_VALUE"""),"3602 (35400-050-35550) КОВЕЛЬ - САРНЫ")</f>
        <v>3602 (35400-050-35550) КОВЕЛЬ - САРНЫ</v>
      </c>
      <c r="K351">
        <f ca="1">IFERROR(__xludf.DUMMYFUNCTION("""COMPUTED_VALUE"""),35550)</f>
        <v>35550</v>
      </c>
      <c r="L351" t="str">
        <f ca="1">IFERROR(__xludf.DUMMYFUNCTION("""COMPUTED_VALUE"""),"САРНЫ")</f>
        <v>САРНЫ</v>
      </c>
      <c r="M351" t="str">
        <f ca="1">IFERROR(__xludf.DUMMYFUNCTION("""COMPUTED_VALUE"""),"12.08.21 05-15")</f>
        <v>12.08.21 05-15</v>
      </c>
      <c r="N351" t="str">
        <f ca="1">IFERROR(__xludf.DUMMYFUNCTION("""COMPUTED_VALUE"""),"04 РАСФ")</f>
        <v>04 РАСФ</v>
      </c>
      <c r="O351">
        <f ca="1">IFERROR(__xludf.DUMMYFUNCTION("""COMPUTED_VALUE"""),35580)</f>
        <v>35580</v>
      </c>
      <c r="P351" t="str">
        <f ca="1">IFERROR(__xludf.DUMMYFUNCTION("""COMPUTED_VALUE"""),"ТОМАШГОРОД")</f>
        <v>ТОМАШГОРОД</v>
      </c>
      <c r="Q351">
        <f ca="1">IFERROR(__xludf.DUMMYFUNCTION("""COMPUTED_VALUE"""),35130)</f>
        <v>35130</v>
      </c>
      <c r="R351" t="str">
        <f ca="1">IFERROR(__xludf.DUMMYFUNCTION("""COMPUTED_VALUE"""),"ЯГОДИН")</f>
        <v>ЯГОДИН</v>
      </c>
      <c r="S351" t="str">
        <f ca="1">IFERROR(__xludf.DUMMYFUNCTION("""COMPUTED_VALUE"""),"10.08.21 18-45")</f>
        <v>10.08.21 18-45</v>
      </c>
      <c r="T351">
        <f ca="1">IFERROR(__xludf.DUMMYFUNCTION("""COMPUTED_VALUE"""),8537)</f>
        <v>8537</v>
      </c>
      <c r="U351" t="str">
        <f ca="1">IFERROR(__xludf.DUMMYFUNCTION("""COMPUTED_VALUE"""),"31.01.2024 ДР")</f>
        <v>31.01.2024 ДР</v>
      </c>
      <c r="Z351" t="str">
        <f ca="1">IFERROR(__xludf.DUMMYFUNCTION("""COMPUTED_VALUE"""),"ООО «ЕУ-Транс»")</f>
        <v>ООО «ЕУ-Транс»</v>
      </c>
      <c r="AA351" t="str">
        <f ca="1">IFERROR(__xludf.DUMMYFUNCTION("""COMPUTED_VALUE"""),"12-1592")</f>
        <v>12-1592</v>
      </c>
      <c r="AB351" t="str">
        <f ca="1">IFERROR(__xludf.DUMMYFUNCTION("""COMPUTED_VALUE"""),"45 ПРИДН")</f>
        <v>45 ПРИДН</v>
      </c>
      <c r="AC351" t="str">
        <f ca="1">IFERROR(__xludf.DUMMYFUNCTION("""COMPUTED_VALUE"""),"45060 НИЖНЕДНЕПРОВ")</f>
        <v>45060 НИЖНЕДНЕПРОВ</v>
      </c>
      <c r="AD351" t="str">
        <f ca="1">IFERROR(__xludf.DUMMYFUNCTION("""COMPUTED_VALUE"""),"27.01.21 09-26")</f>
        <v>27.01.21 09-26</v>
      </c>
      <c r="AE351" t="str">
        <f ca="1">IFERROR(__xludf.DUMMYFUNCTION("""COMPUTED_VALUE"""),"570 ИCТEК КAЛЕНДАРНЫЙ CPOК ДEПOВCКОГО PEМOНТA")</f>
        <v>570 ИCТEК КAЛЕНДАРНЫЙ CPOК ДEПOВCКОГО PEМOНТA</v>
      </c>
      <c r="AF351" t="str">
        <f ca="1">IFERROR(__xludf.DUMMYFUNCTION("""COMPUTED_VALUE"""),"45 ПРИДН")</f>
        <v>45 ПРИДН</v>
      </c>
      <c r="AG351" t="str">
        <f ca="1">IFERROR(__xludf.DUMMYFUNCTION("""COMPUTED_VALUE"""),"45060 НИЖНЕДНЕПРОВ")</f>
        <v>45060 НИЖНЕДНЕПРОВ</v>
      </c>
      <c r="AH351" t="str">
        <f ca="1">IFERROR(__xludf.DUMMYFUNCTION("""COMPUTED_VALUE"""),"31.01.21 13-58")</f>
        <v>31.01.21 13-58</v>
      </c>
      <c r="AI351" s="21">
        <f ca="1">IFERROR(__xludf.DUMMYFUNCTION("""COMPUTED_VALUE"""),44420.357662037)</f>
        <v>44420.357662037</v>
      </c>
    </row>
    <row r="352" spans="1:35" ht="13" x14ac:dyDescent="0.15">
      <c r="A352">
        <f ca="1">IFERROR(__xludf.DUMMYFUNCTION("""COMPUTED_VALUE"""),1271)</f>
        <v>1271</v>
      </c>
      <c r="B352" t="str">
        <f ca="1">IFERROR(__xludf.DUMMYFUNCTION("""COMPUTED_VALUE"""),"Гран Инвест")</f>
        <v>Гран Инвест</v>
      </c>
      <c r="C352" t="str">
        <f ca="1">IFERROR(__xludf.DUMMYFUNCTION("""COMPUTED_VALUE"""),"ЕУ-Транс")</f>
        <v>ЕУ-Транс</v>
      </c>
      <c r="D352">
        <f ca="1">IFERROR(__xludf.DUMMYFUNCTION("""COMPUTED_VALUE"""),53013959)</f>
        <v>53013959</v>
      </c>
      <c r="E352" t="str">
        <f ca="1">IFERROR(__xludf.DUMMYFUNCTION("""COMPUTED_VALUE"""),"68 ГЛУХОДОННЫЕ")</f>
        <v>68 ГЛУХОДОННЫЕ</v>
      </c>
      <c r="F352">
        <f ca="1">IFERROR(__xludf.DUMMYFUNCTION("""COMPUTED_VALUE"""),23239)</f>
        <v>23239</v>
      </c>
      <c r="G352" t="str">
        <f ca="1">IFERROR(__xludf.DUMMYFUNCTION("""COMPUTED_VALUE"""),"ЩЕБЕНЬ ГРАНИТ")</f>
        <v>ЩЕБЕНЬ ГРАНИТ</v>
      </c>
      <c r="H352">
        <f ca="1">IFERROR(__xludf.DUMMYFUNCTION("""COMPUTED_VALUE"""),71)</f>
        <v>71</v>
      </c>
      <c r="I352">
        <f ca="1">IFERROR(__xludf.DUMMYFUNCTION("""COMPUTED_VALUE"""),8537)</f>
        <v>8537</v>
      </c>
      <c r="J352" t="str">
        <f ca="1">IFERROR(__xludf.DUMMYFUNCTION("""COMPUTED_VALUE"""),"3505 (35580-026-35550) ТОМАШГОРОД - САРНЫ")</f>
        <v>3505 (35580-026-35550) ТОМАШГОРОД - САРНЫ</v>
      </c>
      <c r="K352">
        <f ca="1">IFERROR(__xludf.DUMMYFUNCTION("""COMPUTED_VALUE"""),35580)</f>
        <v>35580</v>
      </c>
      <c r="L352" t="str">
        <f ca="1">IFERROR(__xludf.DUMMYFUNCTION("""COMPUTED_VALUE"""),"ТОМАШГОРОД")</f>
        <v>ТОМАШГОРОД</v>
      </c>
      <c r="M352" t="str">
        <f ca="1">IFERROR(__xludf.DUMMYFUNCTION("""COMPUTED_VALUE"""),"11.08.21 16-50")</f>
        <v>11.08.21 16-50</v>
      </c>
      <c r="N352" t="str">
        <f ca="1">IFERROR(__xludf.DUMMYFUNCTION("""COMPUTED_VALUE"""),"91 ПРДР")</f>
        <v>91 ПРДР</v>
      </c>
      <c r="O352">
        <f ca="1">IFERROR(__xludf.DUMMYFUNCTION("""COMPUTED_VALUE"""),35130)</f>
        <v>35130</v>
      </c>
      <c r="P352" t="str">
        <f ca="1">IFERROR(__xludf.DUMMYFUNCTION("""COMPUTED_VALUE"""),"ЯГОДИН")</f>
        <v>ЯГОДИН</v>
      </c>
      <c r="Q352">
        <f ca="1">IFERROR(__xludf.DUMMYFUNCTION("""COMPUTED_VALUE"""),35580)</f>
        <v>35580</v>
      </c>
      <c r="R352" t="str">
        <f ca="1">IFERROR(__xludf.DUMMYFUNCTION("""COMPUTED_VALUE"""),"ТОМАШГОРОД")</f>
        <v>ТОМАШГОРОД</v>
      </c>
      <c r="S352" t="str">
        <f ca="1">IFERROR(__xludf.DUMMYFUNCTION("""COMPUTED_VALUE"""),"11.08.21 16-50")</f>
        <v>11.08.21 16-50</v>
      </c>
      <c r="T352">
        <f ca="1">IFERROR(__xludf.DUMMYFUNCTION("""COMPUTED_VALUE"""),8537)</f>
        <v>8537</v>
      </c>
      <c r="U352" t="str">
        <f ca="1">IFERROR(__xludf.DUMMYFUNCTION("""COMPUTED_VALUE"""),"03.02.2023 ДР")</f>
        <v>03.02.2023 ДР</v>
      </c>
      <c r="Z352" t="str">
        <f ca="1">IFERROR(__xludf.DUMMYFUNCTION("""COMPUTED_VALUE"""),"ООО «ЕУ-Транс»")</f>
        <v>ООО «ЕУ-Транс»</v>
      </c>
      <c r="AA352" t="str">
        <f ca="1">IFERROR(__xludf.DUMMYFUNCTION("""COMPUTED_VALUE"""),"12-1592")</f>
        <v>12-1592</v>
      </c>
      <c r="AB352" t="str">
        <f ca="1">IFERROR(__xludf.DUMMYFUNCTION("""COMPUTED_VALUE"""),"35 ЛЬВ")</f>
        <v>35 ЛЬВ</v>
      </c>
      <c r="AC352" t="str">
        <f ca="1">IFERROR(__xludf.DUMMYFUNCTION("""COMPUTED_VALUE"""),"35570 КЛЕСОВ")</f>
        <v>35570 КЛЕСОВ</v>
      </c>
      <c r="AD352" t="str">
        <f ca="1">IFERROR(__xludf.DUMMYFUNCTION("""COMPUTED_VALUE"""),"15.07.21 13-00")</f>
        <v>15.07.21 13-00</v>
      </c>
      <c r="AE352" t="str">
        <f ca="1">IFERROR(__xludf.DUMMYFUNCTION("""COMPUTED_VALUE"""),"540 НEИCПPAВНOCТЬ ЗAПOPA ЛЮКA")</f>
        <v>540 НEИCПPAВНOCТЬ ЗAПOPA ЛЮКA</v>
      </c>
      <c r="AF352" t="str">
        <f ca="1">IFERROR(__xludf.DUMMYFUNCTION("""COMPUTED_VALUE"""),"35 ЛЬВ")</f>
        <v>35 ЛЬВ</v>
      </c>
      <c r="AG352" t="str">
        <f ca="1">IFERROR(__xludf.DUMMYFUNCTION("""COMPUTED_VALUE"""),"35570 КЛЕСОВ")</f>
        <v>35570 КЛЕСОВ</v>
      </c>
      <c r="AH352" t="str">
        <f ca="1">IFERROR(__xludf.DUMMYFUNCTION("""COMPUTED_VALUE"""),"02.08.21 16-00")</f>
        <v>02.08.21 16-00</v>
      </c>
      <c r="AI352" s="21">
        <f ca="1">IFERROR(__xludf.DUMMYFUNCTION("""COMPUTED_VALUE"""),44420.357662037)</f>
        <v>44420.357662037</v>
      </c>
    </row>
    <row r="353" spans="1:35" ht="13" x14ac:dyDescent="0.15">
      <c r="A353">
        <f ca="1">IFERROR(__xludf.DUMMYFUNCTION("""COMPUTED_VALUE"""),1272)</f>
        <v>1272</v>
      </c>
      <c r="B353" t="str">
        <f ca="1">IFERROR(__xludf.DUMMYFUNCTION("""COMPUTED_VALUE"""),"Гран Инвест")</f>
        <v>Гран Инвест</v>
      </c>
      <c r="C353" t="str">
        <f ca="1">IFERROR(__xludf.DUMMYFUNCTION("""COMPUTED_VALUE"""),"ЕУ-Транс")</f>
        <v>ЕУ-Транс</v>
      </c>
      <c r="D353">
        <f ca="1">IFERROR(__xludf.DUMMYFUNCTION("""COMPUTED_VALUE"""),53013926)</f>
        <v>53013926</v>
      </c>
      <c r="E353" t="str">
        <f ca="1">IFERROR(__xludf.DUMMYFUNCTION("""COMPUTED_VALUE"""),"68 ГЛУХОДОННЫЕ")</f>
        <v>68 ГЛУХОДОННЫЕ</v>
      </c>
      <c r="F353">
        <f ca="1">IFERROR(__xludf.DUMMYFUNCTION("""COMPUTED_VALUE"""),42103)</f>
        <v>42103</v>
      </c>
      <c r="G353" t="str">
        <f ca="1">IFERROR(__xludf.DUMMYFUNCTION("""COMPUTED_VALUE"""),"ВАГОНЫ ЖД СВ")</f>
        <v>ВАГОНЫ ЖД СВ</v>
      </c>
      <c r="H353">
        <f ca="1">IFERROR(__xludf.DUMMYFUNCTION("""COMPUTED_VALUE"""),0)</f>
        <v>0</v>
      </c>
      <c r="I353">
        <f ca="1">IFERROR(__xludf.DUMMYFUNCTION("""COMPUTED_VALUE"""),8537)</f>
        <v>8537</v>
      </c>
      <c r="J353" t="str">
        <f ca="1">IFERROR(__xludf.DUMMYFUNCTION("""COMPUTED_VALUE"""),"3602 (35400-050-35550) КОВЕЛЬ - САРНЫ")</f>
        <v>3602 (35400-050-35550) КОВЕЛЬ - САРНЫ</v>
      </c>
      <c r="K353">
        <f ca="1">IFERROR(__xludf.DUMMYFUNCTION("""COMPUTED_VALUE"""),35550)</f>
        <v>35550</v>
      </c>
      <c r="L353" t="str">
        <f ca="1">IFERROR(__xludf.DUMMYFUNCTION("""COMPUTED_VALUE"""),"САРНЫ")</f>
        <v>САРНЫ</v>
      </c>
      <c r="M353" t="str">
        <f ca="1">IFERROR(__xludf.DUMMYFUNCTION("""COMPUTED_VALUE"""),"12.08.21 05-15")</f>
        <v>12.08.21 05-15</v>
      </c>
      <c r="N353" t="str">
        <f ca="1">IFERROR(__xludf.DUMMYFUNCTION("""COMPUTED_VALUE"""),"04 РАСФ")</f>
        <v>04 РАСФ</v>
      </c>
      <c r="O353">
        <f ca="1">IFERROR(__xludf.DUMMYFUNCTION("""COMPUTED_VALUE"""),35580)</f>
        <v>35580</v>
      </c>
      <c r="P353" t="str">
        <f ca="1">IFERROR(__xludf.DUMMYFUNCTION("""COMPUTED_VALUE"""),"ТОМАШГОРОД")</f>
        <v>ТОМАШГОРОД</v>
      </c>
      <c r="Q353">
        <f ca="1">IFERROR(__xludf.DUMMYFUNCTION("""COMPUTED_VALUE"""),35130)</f>
        <v>35130</v>
      </c>
      <c r="R353" t="str">
        <f ca="1">IFERROR(__xludf.DUMMYFUNCTION("""COMPUTED_VALUE"""),"ЯГОДИН")</f>
        <v>ЯГОДИН</v>
      </c>
      <c r="S353" t="str">
        <f ca="1">IFERROR(__xludf.DUMMYFUNCTION("""COMPUTED_VALUE"""),"10.08.21 18-45")</f>
        <v>10.08.21 18-45</v>
      </c>
      <c r="T353">
        <f ca="1">IFERROR(__xludf.DUMMYFUNCTION("""COMPUTED_VALUE"""),8537)</f>
        <v>8537</v>
      </c>
      <c r="U353" t="str">
        <f ca="1">IFERROR(__xludf.DUMMYFUNCTION("""COMPUTED_VALUE"""),"05.02.2023 ДР")</f>
        <v>05.02.2023 ДР</v>
      </c>
      <c r="Z353" t="str">
        <f ca="1">IFERROR(__xludf.DUMMYFUNCTION("""COMPUTED_VALUE"""),"ООО «ЕУ-Транс»")</f>
        <v>ООО «ЕУ-Транс»</v>
      </c>
      <c r="AA353" t="str">
        <f ca="1">IFERROR(__xludf.DUMMYFUNCTION("""COMPUTED_VALUE"""),"12-1592")</f>
        <v>12-1592</v>
      </c>
      <c r="AB353" t="str">
        <f ca="1">IFERROR(__xludf.DUMMYFUNCTION("""COMPUTED_VALUE"""),"45 ПРИДН")</f>
        <v>45 ПРИДН</v>
      </c>
      <c r="AC353" t="str">
        <f ca="1">IFERROR(__xludf.DUMMYFUNCTION("""COMPUTED_VALUE"""),"46710 КРИВ.РОГ-СОР")</f>
        <v>46710 КРИВ.РОГ-СОР</v>
      </c>
      <c r="AD353" t="str">
        <f ca="1">IFERROR(__xludf.DUMMYFUNCTION("""COMPUTED_VALUE"""),"22.01.21 11-56")</f>
        <v>22.01.21 11-56</v>
      </c>
      <c r="AE353" t="str">
        <f ca="1">IFERROR(__xludf.DUMMYFUNCTION("""COMPUTED_VALUE"""),"570 ИCТEК КAЛЕНДАРНЫЙ CPOК ДEПOВCКОГО PEМOНТA")</f>
        <v>570 ИCТEК КAЛЕНДАРНЫЙ CPOК ДEПOВCКОГО PEМOНТA</v>
      </c>
      <c r="AF353" t="str">
        <f ca="1">IFERROR(__xludf.DUMMYFUNCTION("""COMPUTED_VALUE"""),"45 ПРИДН")</f>
        <v>45 ПРИДН</v>
      </c>
      <c r="AG353" t="str">
        <f ca="1">IFERROR(__xludf.DUMMYFUNCTION("""COMPUTED_VALUE"""),"46710 КРИВ.РОГ-СОР")</f>
        <v>46710 КРИВ.РОГ-СОР</v>
      </c>
      <c r="AH353" t="str">
        <f ca="1">IFERROR(__xludf.DUMMYFUNCTION("""COMPUTED_VALUE"""),"05.02.21 09-51")</f>
        <v>05.02.21 09-51</v>
      </c>
      <c r="AI353" s="21">
        <f ca="1">IFERROR(__xludf.DUMMYFUNCTION("""COMPUTED_VALUE"""),44420.357662037)</f>
        <v>44420.357662037</v>
      </c>
    </row>
    <row r="354" spans="1:35" ht="13" x14ac:dyDescent="0.15">
      <c r="A354">
        <f ca="1">IFERROR(__xludf.DUMMYFUNCTION("""COMPUTED_VALUE"""),1283)</f>
        <v>1283</v>
      </c>
      <c r="B354" t="str">
        <f ca="1">IFERROR(__xludf.DUMMYFUNCTION("""COMPUTED_VALUE"""),"Техрейс")</f>
        <v>Техрейс</v>
      </c>
      <c r="C354" t="str">
        <f ca="1">IFERROR(__xludf.DUMMYFUNCTION("""COMPUTED_VALUE"""),"ЕУ-Транс")</f>
        <v>ЕУ-Транс</v>
      </c>
      <c r="D354">
        <f ca="1">IFERROR(__xludf.DUMMYFUNCTION("""COMPUTED_VALUE"""),56627466)</f>
        <v>56627466</v>
      </c>
      <c r="E354" t="str">
        <f ca="1">IFERROR(__xludf.DUMMYFUNCTION("""COMPUTED_VALUE"""),"60 ПОЛУВАГОНЫ")</f>
        <v>60 ПОЛУВАГОНЫ</v>
      </c>
      <c r="F354">
        <f ca="1">IFERROR(__xludf.DUMMYFUNCTION("""COMPUTED_VALUE"""),24132)</f>
        <v>24132</v>
      </c>
      <c r="G354" t="str">
        <f ca="1">IFERROR(__xludf.DUMMYFUNCTION("""COMPUTED_VALUE"""),"КАМЕНЬ ГИПСОВ")</f>
        <v>КАМЕНЬ ГИПСОВ</v>
      </c>
      <c r="H354">
        <f ca="1">IFERROR(__xludf.DUMMYFUNCTION("""COMPUTED_VALUE"""),71)</f>
        <v>71</v>
      </c>
      <c r="I354">
        <f ca="1">IFERROR(__xludf.DUMMYFUNCTION("""COMPUTED_VALUE"""),3203)</f>
        <v>3203</v>
      </c>
      <c r="J354" t="str">
        <f ca="1">IFERROR(__xludf.DUMMYFUNCTION("""COMPUTED_VALUE"""),"4832 (41610-040-41680) СНИГИРЕВКА - КАХОВКА")</f>
        <v>4832 (41610-040-41680) СНИГИРЕВКА - КАХОВКА</v>
      </c>
      <c r="K354">
        <f ca="1">IFERROR(__xludf.DUMMYFUNCTION("""COMPUTED_VALUE"""),41680)</f>
        <v>41680</v>
      </c>
      <c r="L354" t="str">
        <f ca="1">IFERROR(__xludf.DUMMYFUNCTION("""COMPUTED_VALUE"""),"КАХОВКА")</f>
        <v>КАХОВКА</v>
      </c>
      <c r="M354" t="str">
        <f ca="1">IFERROR(__xludf.DUMMYFUNCTION("""COMPUTED_VALUE"""),"12.08.21 07-59")</f>
        <v>12.08.21 07-59</v>
      </c>
      <c r="N354" t="str">
        <f ca="1">IFERROR(__xludf.DUMMYFUNCTION("""COMPUTED_VALUE"""),"01 ПРИБ")</f>
        <v>01 ПРИБ</v>
      </c>
      <c r="O354">
        <f ca="1">IFERROR(__xludf.DUMMYFUNCTION("""COMPUTED_VALUE"""),41680)</f>
        <v>41680</v>
      </c>
      <c r="P354" t="str">
        <f ca="1">IFERROR(__xludf.DUMMYFUNCTION("""COMPUTED_VALUE"""),"КАХОВКА")</f>
        <v>КАХОВКА</v>
      </c>
      <c r="Q354">
        <f ca="1">IFERROR(__xludf.DUMMYFUNCTION("""COMPUTED_VALUE"""),49480)</f>
        <v>49480</v>
      </c>
      <c r="R354" t="str">
        <f ca="1">IFERROR(__xludf.DUMMYFUNCTION("""COMPUTED_VALUE"""),"СОЛЬ")</f>
        <v>СОЛЬ</v>
      </c>
      <c r="S354" t="str">
        <f ca="1">IFERROR(__xludf.DUMMYFUNCTION("""COMPUTED_VALUE"""),"05.08.21 23-05")</f>
        <v>05.08.21 23-05</v>
      </c>
      <c r="T354">
        <f ca="1">IFERROR(__xludf.DUMMYFUNCTION("""COMPUTED_VALUE"""),5377)</f>
        <v>5377</v>
      </c>
      <c r="U354" t="str">
        <f ca="1">IFERROR(__xludf.DUMMYFUNCTION("""COMPUTED_VALUE"""),"26.12.2022 ДР")</f>
        <v>26.12.2022 ДР</v>
      </c>
      <c r="Z354" t="str">
        <f ca="1">IFERROR(__xludf.DUMMYFUNCTION("""COMPUTED_VALUE"""),"ООО ""ЕУ-ТРАНС""")</f>
        <v>ООО "ЕУ-ТРАНС"</v>
      </c>
      <c r="AA354" t="str">
        <f ca="1">IFERROR(__xludf.DUMMYFUNCTION("""COMPUTED_VALUE"""),"12-119")</f>
        <v>12-119</v>
      </c>
      <c r="AB354" t="str">
        <f ca="1">IFERROR(__xludf.DUMMYFUNCTION("""COMPUTED_VALUE"""),"35 ЛЬВ")</f>
        <v>35 ЛЬВ</v>
      </c>
      <c r="AC354" t="str">
        <f ca="1">IFERROR(__xludf.DUMMYFUNCTION("""COMPUTED_VALUE"""),"35400 КОВЕЛЬ")</f>
        <v>35400 КОВЕЛЬ</v>
      </c>
      <c r="AD354" t="str">
        <f ca="1">IFERROR(__xludf.DUMMYFUNCTION("""COMPUTED_VALUE"""),"04.06.21 13-57")</f>
        <v>04.06.21 13-57</v>
      </c>
      <c r="AE354" t="str">
        <f ca="1">IFERROR(__xludf.DUMMYFUNCTION("""COMPUTED_VALUE"""),"405 НEИCПPAВНOCТЬ КOНЦEВOГO КPAНA")</f>
        <v>405 НEИCПPAВНOCТЬ КOНЦEВOГO КPAНA</v>
      </c>
      <c r="AF354" t="str">
        <f ca="1">IFERROR(__xludf.DUMMYFUNCTION("""COMPUTED_VALUE"""),"35 ЛЬВ")</f>
        <v>35 ЛЬВ</v>
      </c>
      <c r="AG354" t="str">
        <f ca="1">IFERROR(__xludf.DUMMYFUNCTION("""COMPUTED_VALUE"""),"35400 КОВЕЛЬ")</f>
        <v>35400 КОВЕЛЬ</v>
      </c>
      <c r="AH354" t="str">
        <f ca="1">IFERROR(__xludf.DUMMYFUNCTION("""COMPUTED_VALUE"""),"07.06.21 15-00")</f>
        <v>07.06.21 15-00</v>
      </c>
      <c r="AI354" s="21">
        <f ca="1">IFERROR(__xludf.DUMMYFUNCTION("""COMPUTED_VALUE"""),44420.357662037)</f>
        <v>44420.357662037</v>
      </c>
    </row>
    <row r="355" spans="1:35" ht="13" x14ac:dyDescent="0.15">
      <c r="A355">
        <f ca="1">IFERROR(__xludf.DUMMYFUNCTION("""COMPUTED_VALUE"""),1284)</f>
        <v>1284</v>
      </c>
      <c r="B355" t="str">
        <f ca="1">IFERROR(__xludf.DUMMYFUNCTION("""COMPUTED_VALUE"""),"Гран Инвест")</f>
        <v>Гран Инвест</v>
      </c>
      <c r="C355" t="str">
        <f ca="1">IFERROR(__xludf.DUMMYFUNCTION("""COMPUTED_VALUE"""),"ЕУ-Транс")</f>
        <v>ЕУ-Транс</v>
      </c>
      <c r="D355">
        <f ca="1">IFERROR(__xludf.DUMMYFUNCTION("""COMPUTED_VALUE"""),56727944)</f>
        <v>56727944</v>
      </c>
      <c r="E355" t="str">
        <f ca="1">IFERROR(__xludf.DUMMYFUNCTION("""COMPUTED_VALUE"""),"68 ГЛУХОДОННЫЕ")</f>
        <v>68 ГЛУХОДОННЫЕ</v>
      </c>
      <c r="F355">
        <f ca="1">IFERROR(__xludf.DUMMYFUNCTION("""COMPUTED_VALUE"""),42103)</f>
        <v>42103</v>
      </c>
      <c r="G355" t="str">
        <f ca="1">IFERROR(__xludf.DUMMYFUNCTION("""COMPUTED_VALUE"""),"ВАГОНЫ ЖД СВ")</f>
        <v>ВАГОНЫ ЖД СВ</v>
      </c>
      <c r="H355">
        <f ca="1">IFERROR(__xludf.DUMMYFUNCTION("""COMPUTED_VALUE"""),0)</f>
        <v>0</v>
      </c>
      <c r="I355">
        <f ca="1">IFERROR(__xludf.DUMMYFUNCTION("""COMPUTED_VALUE"""),8537)</f>
        <v>8537</v>
      </c>
      <c r="J355" t="str">
        <f ca="1">IFERROR(__xludf.DUMMYFUNCTION("""COMPUTED_VALUE"""),"3602 (35400-050-35550) КОВЕЛЬ - САРНЫ")</f>
        <v>3602 (35400-050-35550) КОВЕЛЬ - САРНЫ</v>
      </c>
      <c r="K355">
        <f ca="1">IFERROR(__xludf.DUMMYFUNCTION("""COMPUTED_VALUE"""),35550)</f>
        <v>35550</v>
      </c>
      <c r="L355" t="str">
        <f ca="1">IFERROR(__xludf.DUMMYFUNCTION("""COMPUTED_VALUE"""),"САРНЫ")</f>
        <v>САРНЫ</v>
      </c>
      <c r="M355" t="str">
        <f ca="1">IFERROR(__xludf.DUMMYFUNCTION("""COMPUTED_VALUE"""),"12.08.21 05-15")</f>
        <v>12.08.21 05-15</v>
      </c>
      <c r="N355" t="str">
        <f ca="1">IFERROR(__xludf.DUMMYFUNCTION("""COMPUTED_VALUE"""),"04 РАСФ")</f>
        <v>04 РАСФ</v>
      </c>
      <c r="O355">
        <f ca="1">IFERROR(__xludf.DUMMYFUNCTION("""COMPUTED_VALUE"""),35580)</f>
        <v>35580</v>
      </c>
      <c r="P355" t="str">
        <f ca="1">IFERROR(__xludf.DUMMYFUNCTION("""COMPUTED_VALUE"""),"ТОМАШГОРОД")</f>
        <v>ТОМАШГОРОД</v>
      </c>
      <c r="Q355">
        <f ca="1">IFERROR(__xludf.DUMMYFUNCTION("""COMPUTED_VALUE"""),35130)</f>
        <v>35130</v>
      </c>
      <c r="R355" t="str">
        <f ca="1">IFERROR(__xludf.DUMMYFUNCTION("""COMPUTED_VALUE"""),"ЯГОДИН")</f>
        <v>ЯГОДИН</v>
      </c>
      <c r="S355" t="str">
        <f ca="1">IFERROR(__xludf.DUMMYFUNCTION("""COMPUTED_VALUE"""),"10.08.21 18-45")</f>
        <v>10.08.21 18-45</v>
      </c>
      <c r="T355">
        <f ca="1">IFERROR(__xludf.DUMMYFUNCTION("""COMPUTED_VALUE"""),8537)</f>
        <v>8537</v>
      </c>
      <c r="U355" t="str">
        <f ca="1">IFERROR(__xludf.DUMMYFUNCTION("""COMPUTED_VALUE"""),"26.12.2021 ДР")</f>
        <v>26.12.2021 ДР</v>
      </c>
      <c r="Z355" t="str">
        <f ca="1">IFERROR(__xludf.DUMMYFUNCTION("""COMPUTED_VALUE"""),"ООО «ЕУ-Транс»")</f>
        <v>ООО «ЕУ-Транс»</v>
      </c>
      <c r="AA355" t="str">
        <f ca="1">IFERROR(__xludf.DUMMYFUNCTION("""COMPUTED_VALUE"""),"12-1592")</f>
        <v>12-1592</v>
      </c>
      <c r="AB355" t="str">
        <f ca="1">IFERROR(__xludf.DUMMYFUNCTION("""COMPUTED_VALUE"""),"45 ПРИДН")</f>
        <v>45 ПРИДН</v>
      </c>
      <c r="AC355" t="str">
        <f ca="1">IFERROR(__xludf.DUMMYFUNCTION("""COMPUTED_VALUE"""),"47660 ДНЕПРОРУДНАЯ")</f>
        <v>47660 ДНЕПРОРУДНАЯ</v>
      </c>
      <c r="AD355" t="str">
        <f ca="1">IFERROR(__xludf.DUMMYFUNCTION("""COMPUTED_VALUE"""),"25.03.21 15-30")</f>
        <v>25.03.21 15-30</v>
      </c>
      <c r="AE355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55" t="str">
        <f ca="1">IFERROR(__xludf.DUMMYFUNCTION("""COMPUTED_VALUE"""),"45 ПРИДН")</f>
        <v>45 ПРИДН</v>
      </c>
      <c r="AG355" t="str">
        <f ca="1">IFERROR(__xludf.DUMMYFUNCTION("""COMPUTED_VALUE"""),"47660 ДНЕПРОРУДНАЯ")</f>
        <v>47660 ДНЕПРОРУДНАЯ</v>
      </c>
      <c r="AH355" t="str">
        <f ca="1">IFERROR(__xludf.DUMMYFUNCTION("""COMPUTED_VALUE"""),"26.03.21 12-50")</f>
        <v>26.03.21 12-50</v>
      </c>
      <c r="AI355" s="21">
        <f ca="1">IFERROR(__xludf.DUMMYFUNCTION("""COMPUTED_VALUE"""),44420.357662037)</f>
        <v>44420.357662037</v>
      </c>
    </row>
    <row r="356" spans="1:35" ht="13" x14ac:dyDescent="0.15">
      <c r="A356">
        <f ca="1">IFERROR(__xludf.DUMMYFUNCTION("""COMPUTED_VALUE"""),1285)</f>
        <v>1285</v>
      </c>
      <c r="B356" t="str">
        <f ca="1">IFERROR(__xludf.DUMMYFUNCTION("""COMPUTED_VALUE"""),"Гран Инвест")</f>
        <v>Гран Инвест</v>
      </c>
      <c r="C356" t="str">
        <f ca="1">IFERROR(__xludf.DUMMYFUNCTION("""COMPUTED_VALUE"""),"ЕУ-Транс")</f>
        <v>ЕУ-Транс</v>
      </c>
      <c r="D356">
        <f ca="1">IFERROR(__xludf.DUMMYFUNCTION("""COMPUTED_VALUE"""),53013934)</f>
        <v>53013934</v>
      </c>
      <c r="E356" t="str">
        <f ca="1">IFERROR(__xludf.DUMMYFUNCTION("""COMPUTED_VALUE"""),"68 ГЛУХОДОННЫЕ")</f>
        <v>68 ГЛУХОДОННЫЕ</v>
      </c>
      <c r="F356">
        <f ca="1">IFERROR(__xludf.DUMMYFUNCTION("""COMPUTED_VALUE"""),23239)</f>
        <v>23239</v>
      </c>
      <c r="G356" t="str">
        <f ca="1">IFERROR(__xludf.DUMMYFUNCTION("""COMPUTED_VALUE"""),"ЩЕБЕНЬ ГРАНИТ")</f>
        <v>ЩЕБЕНЬ ГРАНИТ</v>
      </c>
      <c r="H356">
        <f ca="1">IFERROR(__xludf.DUMMYFUNCTION("""COMPUTED_VALUE"""),71)</f>
        <v>71</v>
      </c>
      <c r="I356">
        <f ca="1">IFERROR(__xludf.DUMMYFUNCTION("""COMPUTED_VALUE"""),4261)</f>
        <v>4261</v>
      </c>
      <c r="J356" t="str">
        <f ca="1">IFERROR(__xludf.DUMMYFUNCTION("""COMPUTED_VALUE"""),"3505 (35580-026-35550) ТОМАШГОРОД - САРНЫ")</f>
        <v>3505 (35580-026-35550) ТОМАШГОРОД - САРНЫ</v>
      </c>
      <c r="K356">
        <f ca="1">IFERROR(__xludf.DUMMYFUNCTION("""COMPUTED_VALUE"""),35580)</f>
        <v>35580</v>
      </c>
      <c r="L356" t="str">
        <f ca="1">IFERROR(__xludf.DUMMYFUNCTION("""COMPUTED_VALUE"""),"ТОМАШГОРОД")</f>
        <v>ТОМАШГОРОД</v>
      </c>
      <c r="M356" t="str">
        <f ca="1">IFERROR(__xludf.DUMMYFUNCTION("""COMPUTED_VALUE"""),"10.08.21 18-50")</f>
        <v>10.08.21 18-50</v>
      </c>
      <c r="N356" t="str">
        <f ca="1">IFERROR(__xludf.DUMMYFUNCTION("""COMPUTED_VALUE"""),"91 ПРДР")</f>
        <v>91 ПРДР</v>
      </c>
      <c r="O356">
        <f ca="1">IFERROR(__xludf.DUMMYFUNCTION("""COMPUTED_VALUE"""),35260)</f>
        <v>35260</v>
      </c>
      <c r="P356" t="str">
        <f ca="1">IFERROR(__xludf.DUMMYFUNCTION("""COMPUTED_VALUE"""),"ИЗОВ-Э-ПКП")</f>
        <v>ИЗОВ-Э-ПКП</v>
      </c>
      <c r="Q356">
        <f ca="1">IFERROR(__xludf.DUMMYFUNCTION("""COMPUTED_VALUE"""),35580)</f>
        <v>35580</v>
      </c>
      <c r="R356" t="str">
        <f ca="1">IFERROR(__xludf.DUMMYFUNCTION("""COMPUTED_VALUE"""),"ТОМАШГОРОД")</f>
        <v>ТОМАШГОРОД</v>
      </c>
      <c r="S356" t="str">
        <f ca="1">IFERROR(__xludf.DUMMYFUNCTION("""COMPUTED_VALUE"""),"10.08.21 18-50")</f>
        <v>10.08.21 18-50</v>
      </c>
      <c r="T356">
        <f ca="1">IFERROR(__xludf.DUMMYFUNCTION("""COMPUTED_VALUE"""),1406)</f>
        <v>1406</v>
      </c>
      <c r="U356" t="str">
        <f ca="1">IFERROR(__xludf.DUMMYFUNCTION("""COMPUTED_VALUE"""),"30.12.2021 ДР")</f>
        <v>30.12.2021 ДР</v>
      </c>
      <c r="Z356" t="str">
        <f ca="1">IFERROR(__xludf.DUMMYFUNCTION("""COMPUTED_VALUE"""),"ООО «ЕУ-Транс»")</f>
        <v>ООО «ЕУ-Транс»</v>
      </c>
      <c r="AA356" t="str">
        <f ca="1">IFERROR(__xludf.DUMMYFUNCTION("""COMPUTED_VALUE"""),"12-1592")</f>
        <v>12-1592</v>
      </c>
      <c r="AB356" t="str">
        <f ca="1">IFERROR(__xludf.DUMMYFUNCTION("""COMPUTED_VALUE"""),"48 ДОН")</f>
        <v>48 ДОН</v>
      </c>
      <c r="AC356" t="str">
        <f ca="1">IFERROR(__xludf.DUMMYFUNCTION("""COMPUTED_VALUE"""),"49480 СОЛЬ")</f>
        <v>49480 СОЛЬ</v>
      </c>
      <c r="AD356" t="str">
        <f ca="1">IFERROR(__xludf.DUMMYFUNCTION("""COMPUTED_VALUE"""),"10.04.21 09-30")</f>
        <v>10.04.21 09-30</v>
      </c>
      <c r="AE356" t="str">
        <f ca="1">IFERROR(__xludf.DUMMYFUNCTION("""COMPUTED_VALUE"""),"412")</f>
        <v>412</v>
      </c>
      <c r="AF356" t="str">
        <f ca="1">IFERROR(__xludf.DUMMYFUNCTION("""COMPUTED_VALUE"""),"48 ДОН")</f>
        <v>48 ДОН</v>
      </c>
      <c r="AG356" t="str">
        <f ca="1">IFERROR(__xludf.DUMMYFUNCTION("""COMPUTED_VALUE"""),"49480 СОЛЬ")</f>
        <v>49480 СОЛЬ</v>
      </c>
      <c r="AH356" t="str">
        <f ca="1">IFERROR(__xludf.DUMMYFUNCTION("""COMPUTED_VALUE"""),"14.04.21 16-30")</f>
        <v>14.04.21 16-30</v>
      </c>
      <c r="AI356" s="21">
        <f ca="1">IFERROR(__xludf.DUMMYFUNCTION("""COMPUTED_VALUE"""),44420.357662037)</f>
        <v>44420.357662037</v>
      </c>
    </row>
    <row r="357" spans="1:35" ht="13" x14ac:dyDescent="0.15">
      <c r="A357">
        <f ca="1">IFERROR(__xludf.DUMMYFUNCTION("""COMPUTED_VALUE"""),1286)</f>
        <v>1286</v>
      </c>
      <c r="B357" t="str">
        <f ca="1">IFERROR(__xludf.DUMMYFUNCTION("""COMPUTED_VALUE"""),"Техрейс")</f>
        <v>Техрейс</v>
      </c>
      <c r="C357" t="str">
        <f ca="1">IFERROR(__xludf.DUMMYFUNCTION("""COMPUTED_VALUE"""),"ЕУ-Транс")</f>
        <v>ЕУ-Транс</v>
      </c>
      <c r="D357">
        <f ca="1">IFERROR(__xludf.DUMMYFUNCTION("""COMPUTED_VALUE"""),56624513)</f>
        <v>56624513</v>
      </c>
      <c r="E357" t="str">
        <f ca="1">IFERROR(__xludf.DUMMYFUNCTION("""COMPUTED_VALUE"""),"60 ПОЛУВАГОНЫ")</f>
        <v>60 ПОЛУВАГОНЫ</v>
      </c>
      <c r="F357">
        <f ca="1">IFERROR(__xludf.DUMMYFUNCTION("""COMPUTED_VALUE"""),14109)</f>
        <v>14109</v>
      </c>
      <c r="G357" t="str">
        <f ca="1">IFERROR(__xludf.DUMMYFUNCTION("""COMPUTED_VALUE"""),"ГЕМАТИТ")</f>
        <v>ГЕМАТИТ</v>
      </c>
      <c r="H357">
        <f ca="1">IFERROR(__xludf.DUMMYFUNCTION("""COMPUTED_VALUE"""),71)</f>
        <v>71</v>
      </c>
      <c r="I357">
        <f ca="1">IFERROR(__xludf.DUMMYFUNCTION("""COMPUTED_VALUE"""),5786)</f>
        <v>5786</v>
      </c>
      <c r="J357" t="str">
        <f ca="1">IFERROR(__xludf.DUMMYFUNCTION("""COMPUTED_VALUE"""),"1603 (46720-440-40050) КРИВОЙ РОГ - БЕРЕГОВАЯ")</f>
        <v>1603 (46720-440-40050) КРИВОЙ РОГ - БЕРЕГОВАЯ</v>
      </c>
      <c r="K357">
        <f ca="1">IFERROR(__xludf.DUMMYFUNCTION("""COMPUTED_VALUE"""),40050)</f>
        <v>40050</v>
      </c>
      <c r="L357" t="str">
        <f ca="1">IFERROR(__xludf.DUMMYFUNCTION("""COMPUTED_VALUE"""),"БЕРЕГОВАЯ")</f>
        <v>БЕРЕГОВАЯ</v>
      </c>
      <c r="M357" t="str">
        <f ca="1">IFERROR(__xludf.DUMMYFUNCTION("""COMPUTED_VALUE"""),"12.08.21 05-41")</f>
        <v>12.08.21 05-41</v>
      </c>
      <c r="N357" t="str">
        <f ca="1">IFERROR(__xludf.DUMMYFUNCTION("""COMPUTED_VALUE"""),"04 РАСФ")</f>
        <v>04 РАСФ</v>
      </c>
      <c r="O357">
        <f ca="1">IFERROR(__xludf.DUMMYFUNCTION("""COMPUTED_VALUE"""),40060)</f>
        <v>40060</v>
      </c>
      <c r="P357" t="str">
        <f ca="1">IFERROR(__xludf.DUMMYFUNCTION("""COMPUTED_VALUE"""),"БЕРЕГОВАЯ-Э")</f>
        <v>БЕРЕГОВАЯ-Э</v>
      </c>
      <c r="Q357">
        <f ca="1">IFERROR(__xludf.DUMMYFUNCTION("""COMPUTED_VALUE"""),46720)</f>
        <v>46720</v>
      </c>
      <c r="R357" t="str">
        <f ca="1">IFERROR(__xludf.DUMMYFUNCTION("""COMPUTED_VALUE"""),"КРИВОЙ РОГ")</f>
        <v>КРИВОЙ РОГ</v>
      </c>
      <c r="S357" t="str">
        <f ca="1">IFERROR(__xludf.DUMMYFUNCTION("""COMPUTED_VALUE"""),"10.08.21 17-10")</f>
        <v>10.08.21 17-10</v>
      </c>
      <c r="T357">
        <f ca="1">IFERROR(__xludf.DUMMYFUNCTION("""COMPUTED_VALUE"""),5343)</f>
        <v>5343</v>
      </c>
      <c r="U357" t="str">
        <f ca="1">IFERROR(__xludf.DUMMYFUNCTION("""COMPUTED_VALUE"""),"13.07.2024 ДР")</f>
        <v>13.07.2024 ДР</v>
      </c>
      <c r="Z357" t="str">
        <f ca="1">IFERROR(__xludf.DUMMYFUNCTION("""COMPUTED_VALUE"""),"ООО ""ЕУ-ТРАНС""")</f>
        <v>ООО "ЕУ-ТРАНС"</v>
      </c>
      <c r="AA357" t="str">
        <f ca="1">IFERROR(__xludf.DUMMYFUNCTION("""COMPUTED_VALUE"""),"12-141")</f>
        <v>12-141</v>
      </c>
      <c r="AB357" t="str">
        <f ca="1">IFERROR(__xludf.DUMMYFUNCTION("""COMPUTED_VALUE"""),"40 ОД")</f>
        <v>40 ОД</v>
      </c>
      <c r="AC357" t="str">
        <f ca="1">IFERROR(__xludf.DUMMYFUNCTION("""COMPUTED_VALUE"""),"41000 ЗНАМЕНКА")</f>
        <v>41000 ЗНАМЕНКА</v>
      </c>
      <c r="AD357" t="str">
        <f ca="1">IFERROR(__xludf.DUMMYFUNCTION("""COMPUTED_VALUE"""),"05.07.21 05-10")</f>
        <v>05.07.21 05-10</v>
      </c>
      <c r="AE357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57" t="str">
        <f ca="1">IFERROR(__xludf.DUMMYFUNCTION("""COMPUTED_VALUE"""),"40 ОД")</f>
        <v>40 ОД</v>
      </c>
      <c r="AG357" t="str">
        <f ca="1">IFERROR(__xludf.DUMMYFUNCTION("""COMPUTED_VALUE"""),"41000 ЗНАМЕНКА")</f>
        <v>41000 ЗНАМЕНКА</v>
      </c>
      <c r="AH357" t="str">
        <f ca="1">IFERROR(__xludf.DUMMYFUNCTION("""COMPUTED_VALUE"""),"13.07.21 15-00")</f>
        <v>13.07.21 15-00</v>
      </c>
      <c r="AI357" s="21">
        <f ca="1">IFERROR(__xludf.DUMMYFUNCTION("""COMPUTED_VALUE"""),44420.357662037)</f>
        <v>44420.357662037</v>
      </c>
    </row>
    <row r="358" spans="1:35" ht="13" x14ac:dyDescent="0.15">
      <c r="A358">
        <f ca="1">IFERROR(__xludf.DUMMYFUNCTION("""COMPUTED_VALUE"""),1288)</f>
        <v>1288</v>
      </c>
      <c r="B358" t="str">
        <f ca="1">IFERROR(__xludf.DUMMYFUNCTION("""COMPUTED_VALUE"""),"Техрейс")</f>
        <v>Техрейс</v>
      </c>
      <c r="C358" t="str">
        <f ca="1">IFERROR(__xludf.DUMMYFUNCTION("""COMPUTED_VALUE"""),"ЕУ-Транс")</f>
        <v>ЕУ-Транс</v>
      </c>
      <c r="D358">
        <f ca="1">IFERROR(__xludf.DUMMYFUNCTION("""COMPUTED_VALUE"""),56610553)</f>
        <v>56610553</v>
      </c>
      <c r="E358" t="str">
        <f ca="1">IFERROR(__xludf.DUMMYFUNCTION("""COMPUTED_VALUE"""),"60 ПОЛУВАГОНЫ")</f>
        <v>60 ПОЛУВАГОНЫ</v>
      </c>
      <c r="F358">
        <f ca="1">IFERROR(__xludf.DUMMYFUNCTION("""COMPUTED_VALUE"""),24133)</f>
        <v>24133</v>
      </c>
      <c r="G358" t="str">
        <f ca="1">IFERROR(__xludf.DUMMYFUNCTION("""COMPUTED_VALUE"""),"КАМЕНЬ ИЗВЕСТ")</f>
        <v>КАМЕНЬ ИЗВЕСТ</v>
      </c>
      <c r="H358">
        <f ca="1">IFERROR(__xludf.DUMMYFUNCTION("""COMPUTED_VALUE"""),71)</f>
        <v>71</v>
      </c>
      <c r="I358">
        <f ca="1">IFERROR(__xludf.DUMMYFUNCTION("""COMPUTED_VALUE"""),3204)</f>
        <v>3204</v>
      </c>
      <c r="J358" t="str">
        <f ca="1">IFERROR(__xludf.DUMMYFUNCTION("""COMPUTED_VALUE"""),"3001 (33060-027-33000) ГРЕЧАНЫ - ЖМЕРИНКА")</f>
        <v>3001 (33060-027-33000) ГРЕЧАНЫ - ЖМЕРИНКА</v>
      </c>
      <c r="K358">
        <f ca="1">IFERROR(__xludf.DUMMYFUNCTION("""COMPUTED_VALUE"""),33060)</f>
        <v>33060</v>
      </c>
      <c r="L358" t="str">
        <f ca="1">IFERROR(__xludf.DUMMYFUNCTION("""COMPUTED_VALUE"""),"ГРЕЧАНЫ")</f>
        <v>ГРЕЧАНЫ</v>
      </c>
      <c r="M358" t="str">
        <f ca="1">IFERROR(__xludf.DUMMYFUNCTION("""COMPUTED_VALUE"""),"11.08.21 00-30")</f>
        <v>11.08.21 00-30</v>
      </c>
      <c r="N358" t="str">
        <f ca="1">IFERROR(__xludf.DUMMYFUNCTION("""COMPUTED_VALUE"""),"05 ФОРМ")</f>
        <v>05 ФОРМ</v>
      </c>
      <c r="O358">
        <f ca="1">IFERROR(__xludf.DUMMYFUNCTION("""COMPUTED_VALUE"""),43060)</f>
        <v>43060</v>
      </c>
      <c r="P358" t="str">
        <f ca="1">IFERROR(__xludf.DUMMYFUNCTION("""COMPUTED_VALUE"""),"ГРАКОВО")</f>
        <v>ГРАКОВО</v>
      </c>
      <c r="Q358">
        <f ca="1">IFERROR(__xludf.DUMMYFUNCTION("""COMPUTED_VALUE"""),33290)</f>
        <v>33290</v>
      </c>
      <c r="R358" t="str">
        <f ca="1">IFERROR(__xludf.DUMMYFUNCTION("""COMPUTED_VALUE"""),"КАМЕНЕЦ-ПОД")</f>
        <v>КАМЕНЕЦ-ПОД</v>
      </c>
      <c r="S358" t="str">
        <f ca="1">IFERROR(__xludf.DUMMYFUNCTION("""COMPUTED_VALUE"""),"09.08.21 17-10")</f>
        <v>09.08.21 17-10</v>
      </c>
      <c r="T358">
        <f ca="1">IFERROR(__xludf.DUMMYFUNCTION("""COMPUTED_VALUE"""),9259)</f>
        <v>9259</v>
      </c>
      <c r="U358" t="str">
        <f ca="1">IFERROR(__xludf.DUMMYFUNCTION("""COMPUTED_VALUE"""),"30.08.2022 ДР")</f>
        <v>30.08.2022 ДР</v>
      </c>
      <c r="Z358" t="str">
        <f ca="1">IFERROR(__xludf.DUMMYFUNCTION("""COMPUTED_VALUE"""),"ООО «ЕУ-ТРАНС»")</f>
        <v>ООО «ЕУ-ТРАНС»</v>
      </c>
      <c r="AA358" t="str">
        <f ca="1">IFERROR(__xludf.DUMMYFUNCTION("""COMPUTED_VALUE"""),"12-119")</f>
        <v>12-119</v>
      </c>
      <c r="AB358" t="str">
        <f ca="1">IFERROR(__xludf.DUMMYFUNCTION("""COMPUTED_VALUE"""),"45 ПРИДН")</f>
        <v>45 ПРИДН</v>
      </c>
      <c r="AC358" t="str">
        <f ca="1">IFERROR(__xludf.DUMMYFUNCTION("""COMPUTED_VALUE"""),"45580 КАМЕНСКОЕ")</f>
        <v>45580 КАМЕНСКОЕ</v>
      </c>
      <c r="AD358" t="str">
        <f ca="1">IFERROR(__xludf.DUMMYFUNCTION("""COMPUTED_VALUE"""),"20.02.21 08-50")</f>
        <v>20.02.21 08-50</v>
      </c>
      <c r="AE358" t="str">
        <f ca="1">IFERROR(__xludf.DUMMYFUNCTION("""COMPUTED_VALUE"""),"540 НEИCПPAВНOCТЬ ЗAПOPA ЛЮКA")</f>
        <v>540 НEИCПPAВНOCТЬ ЗAПOPA ЛЮКA</v>
      </c>
      <c r="AF358" t="str">
        <f ca="1">IFERROR(__xludf.DUMMYFUNCTION("""COMPUTED_VALUE"""),"45 ПРИДН")</f>
        <v>45 ПРИДН</v>
      </c>
      <c r="AG358" t="str">
        <f ca="1">IFERROR(__xludf.DUMMYFUNCTION("""COMPUTED_VALUE"""),"45580 КАМЕНСКОЕ")</f>
        <v>45580 КАМЕНСКОЕ</v>
      </c>
      <c r="AH358" t="str">
        <f ca="1">IFERROR(__xludf.DUMMYFUNCTION("""COMPUTED_VALUE"""),"20.02.21 23-20")</f>
        <v>20.02.21 23-20</v>
      </c>
      <c r="AI358" s="21">
        <f ca="1">IFERROR(__xludf.DUMMYFUNCTION("""COMPUTED_VALUE"""),44420.357662037)</f>
        <v>44420.357662037</v>
      </c>
    </row>
    <row r="359" spans="1:35" ht="13" x14ac:dyDescent="0.15">
      <c r="A359">
        <f ca="1">IFERROR(__xludf.DUMMYFUNCTION("""COMPUTED_VALUE"""),1289)</f>
        <v>1289</v>
      </c>
      <c r="B359" t="str">
        <f ca="1">IFERROR(__xludf.DUMMYFUNCTION("""COMPUTED_VALUE"""),"Техрейс")</f>
        <v>Техрейс</v>
      </c>
      <c r="C359" t="str">
        <f ca="1">IFERROR(__xludf.DUMMYFUNCTION("""COMPUTED_VALUE"""),"ЕУ-Транс")</f>
        <v>ЕУ-Транс</v>
      </c>
      <c r="D359">
        <f ca="1">IFERROR(__xludf.DUMMYFUNCTION("""COMPUTED_VALUE"""),56624745)</f>
        <v>56624745</v>
      </c>
      <c r="E359" t="str">
        <f ca="1">IFERROR(__xludf.DUMMYFUNCTION("""COMPUTED_VALUE"""),"60 ПОЛУВАГОНЫ")</f>
        <v>60 ПОЛУВАГОНЫ</v>
      </c>
      <c r="F359">
        <f ca="1">IFERROR(__xludf.DUMMYFUNCTION("""COMPUTED_VALUE"""),14109)</f>
        <v>14109</v>
      </c>
      <c r="G359" t="str">
        <f ca="1">IFERROR(__xludf.DUMMYFUNCTION("""COMPUTED_VALUE"""),"ГЕМАТИТ")</f>
        <v>ГЕМАТИТ</v>
      </c>
      <c r="H359">
        <f ca="1">IFERROR(__xludf.DUMMYFUNCTION("""COMPUTED_VALUE"""),71)</f>
        <v>71</v>
      </c>
      <c r="I359">
        <f ca="1">IFERROR(__xludf.DUMMYFUNCTION("""COMPUTED_VALUE"""),5786)</f>
        <v>5786</v>
      </c>
      <c r="J359" t="str">
        <f ca="1">IFERROR(__xludf.DUMMYFUNCTION("""COMPUTED_VALUE"""),"1611 (46720-395-40050) КРИВОЙ РОГ - БЕРЕГОВАЯ")</f>
        <v>1611 (46720-395-40050) КРИВОЙ РОГ - БЕРЕГОВАЯ</v>
      </c>
      <c r="K359">
        <f ca="1">IFERROR(__xludf.DUMMYFUNCTION("""COMPUTED_VALUE"""),40050)</f>
        <v>40050</v>
      </c>
      <c r="L359" t="str">
        <f ca="1">IFERROR(__xludf.DUMMYFUNCTION("""COMPUTED_VALUE"""),"БЕРЕГОВАЯ")</f>
        <v>БЕРЕГОВАЯ</v>
      </c>
      <c r="M359" t="str">
        <f ca="1">IFERROR(__xludf.DUMMYFUNCTION("""COMPUTED_VALUE"""),"12.08.21 04-25")</f>
        <v>12.08.21 04-25</v>
      </c>
      <c r="N359" t="str">
        <f ca="1">IFERROR(__xludf.DUMMYFUNCTION("""COMPUTED_VALUE"""),"21 ВЫГ2")</f>
        <v>21 ВЫГ2</v>
      </c>
      <c r="O359">
        <f ca="1">IFERROR(__xludf.DUMMYFUNCTION("""COMPUTED_VALUE"""),40060)</f>
        <v>40060</v>
      </c>
      <c r="P359" t="str">
        <f ca="1">IFERROR(__xludf.DUMMYFUNCTION("""COMPUTED_VALUE"""),"БЕРЕГОВАЯ-Э")</f>
        <v>БЕРЕГОВАЯ-Э</v>
      </c>
      <c r="Q359">
        <f ca="1">IFERROR(__xludf.DUMMYFUNCTION("""COMPUTED_VALUE"""),46720)</f>
        <v>46720</v>
      </c>
      <c r="R359" t="str">
        <f ca="1">IFERROR(__xludf.DUMMYFUNCTION("""COMPUTED_VALUE"""),"КРИВОЙ РОГ")</f>
        <v>КРИВОЙ РОГ</v>
      </c>
      <c r="S359" t="str">
        <f ca="1">IFERROR(__xludf.DUMMYFUNCTION("""COMPUTED_VALUE"""),"08.08.21 05-05")</f>
        <v>08.08.21 05-05</v>
      </c>
      <c r="U359" t="str">
        <f ca="1">IFERROR(__xludf.DUMMYFUNCTION("""COMPUTED_VALUE"""),"28.12.2022 ДР")</f>
        <v>28.12.2022 ДР</v>
      </c>
      <c r="Z359" t="str">
        <f ca="1">IFERROR(__xludf.DUMMYFUNCTION("""COMPUTED_VALUE"""),"ООО ""ЕУ-ТРАНС""")</f>
        <v>ООО "ЕУ-ТРАНС"</v>
      </c>
      <c r="AA359" t="str">
        <f ca="1">IFERROR(__xludf.DUMMYFUNCTION("""COMPUTED_VALUE"""),"12-119")</f>
        <v>12-119</v>
      </c>
      <c r="AB359" t="str">
        <f ca="1">IFERROR(__xludf.DUMMYFUNCTION("""COMPUTED_VALUE"""),"45 ПРИДН")</f>
        <v>45 ПРИДН</v>
      </c>
      <c r="AC359" t="str">
        <f ca="1">IFERROR(__xludf.DUMMYFUNCTION("""COMPUTED_VALUE"""),"45580 КАМЕНСКОЕ")</f>
        <v>45580 КАМЕНСКОЕ</v>
      </c>
      <c r="AD359" t="str">
        <f ca="1">IFERROR(__xludf.DUMMYFUNCTION("""COMPUTED_VALUE"""),"16.02.21 08-10")</f>
        <v>16.02.21 08-10</v>
      </c>
      <c r="AE359" t="str">
        <f ca="1">IFERROR(__xludf.DUMMYFUNCTION("""COMPUTED_VALUE"""),"540 НEИCПPAВНOCТЬ ЗAПOPA ЛЮКA")</f>
        <v>540 НEИCПPAВНOCТЬ ЗAПOPA ЛЮКA</v>
      </c>
      <c r="AF359" t="str">
        <f ca="1">IFERROR(__xludf.DUMMYFUNCTION("""COMPUTED_VALUE"""),"45 ПРИДН")</f>
        <v>45 ПРИДН</v>
      </c>
      <c r="AG359" t="str">
        <f ca="1">IFERROR(__xludf.DUMMYFUNCTION("""COMPUTED_VALUE"""),"45580 КАМЕНСКОЕ")</f>
        <v>45580 КАМЕНСКОЕ</v>
      </c>
      <c r="AH359" t="str">
        <f ca="1">IFERROR(__xludf.DUMMYFUNCTION("""COMPUTED_VALUE"""),"16.02.21 23-00")</f>
        <v>16.02.21 23-00</v>
      </c>
      <c r="AI359" s="21">
        <f ca="1">IFERROR(__xludf.DUMMYFUNCTION("""COMPUTED_VALUE"""),44420.357662037)</f>
        <v>44420.357662037</v>
      </c>
    </row>
    <row r="360" spans="1:35" ht="13" x14ac:dyDescent="0.15">
      <c r="A360">
        <f ca="1">IFERROR(__xludf.DUMMYFUNCTION("""COMPUTED_VALUE"""),1290)</f>
        <v>1290</v>
      </c>
      <c r="B360" t="str">
        <f ca="1">IFERROR(__xludf.DUMMYFUNCTION("""COMPUTED_VALUE"""),"Лидер")</f>
        <v>Лидер</v>
      </c>
      <c r="C360" t="str">
        <f ca="1">IFERROR(__xludf.DUMMYFUNCTION("""COMPUTED_VALUE"""),"ЕУ-Транс")</f>
        <v>ЕУ-Транс</v>
      </c>
      <c r="D360">
        <f ca="1">IFERROR(__xludf.DUMMYFUNCTION("""COMPUTED_VALUE"""),56624786)</f>
        <v>56624786</v>
      </c>
      <c r="E360" t="str">
        <f ca="1">IFERROR(__xludf.DUMMYFUNCTION("""COMPUTED_VALUE"""),"60 ПОЛУВАГОНЫ")</f>
        <v>60 ПОЛУВАГОНЫ</v>
      </c>
      <c r="F360">
        <f ca="1">IFERROR(__xludf.DUMMYFUNCTION("""COMPUTED_VALUE"""),42103)</f>
        <v>42103</v>
      </c>
      <c r="G360" t="str">
        <f ca="1">IFERROR(__xludf.DUMMYFUNCTION("""COMPUTED_VALUE"""),"ВАГОНЫ ЖД СВ")</f>
        <v>ВАГОНЫ ЖД СВ</v>
      </c>
      <c r="H360">
        <f ca="1">IFERROR(__xludf.DUMMYFUNCTION("""COMPUTED_VALUE"""),0)</f>
        <v>0</v>
      </c>
      <c r="I360">
        <f ca="1">IFERROR(__xludf.DUMMYFUNCTION("""COMPUTED_VALUE"""),7052)</f>
        <v>7052</v>
      </c>
      <c r="J360" t="str">
        <f ca="1">IFERROR(__xludf.DUMMYFUNCTION("""COMPUTED_VALUE"""),"2717 (43000-097-32000) КУПЯНСК-СОРТ - ДАРНИЦА")</f>
        <v>2717 (43000-097-32000) КУПЯНСК-СОРТ - ДАРНИЦА</v>
      </c>
      <c r="K360">
        <f ca="1">IFERROR(__xludf.DUMMYFUNCTION("""COMPUTED_VALUE"""),32000)</f>
        <v>32000</v>
      </c>
      <c r="L360" t="str">
        <f ca="1">IFERROR(__xludf.DUMMYFUNCTION("""COMPUTED_VALUE"""),"ДАРНИЦА")</f>
        <v>ДАРНИЦА</v>
      </c>
      <c r="M360" t="str">
        <f ca="1">IFERROR(__xludf.DUMMYFUNCTION("""COMPUTED_VALUE"""),"11.08.21 19-22")</f>
        <v>11.08.21 19-22</v>
      </c>
      <c r="N360" t="str">
        <f ca="1">IFERROR(__xludf.DUMMYFUNCTION("""COMPUTED_VALUE"""),"51 ПРИБ")</f>
        <v>51 ПРИБ</v>
      </c>
      <c r="O360">
        <f ca="1">IFERROR(__xludf.DUMMYFUNCTION("""COMPUTED_VALUE"""),34850)</f>
        <v>34850</v>
      </c>
      <c r="P360" t="str">
        <f ca="1">IFERROR(__xludf.DUMMYFUNCTION("""COMPUTED_VALUE"""),"УШИЦА")</f>
        <v>УШИЦА</v>
      </c>
      <c r="Q360">
        <f ca="1">IFERROR(__xludf.DUMMYFUNCTION("""COMPUTED_VALUE"""),49870)</f>
        <v>49870</v>
      </c>
      <c r="R360" t="str">
        <f ca="1">IFERROR(__xludf.DUMMYFUNCTION("""COMPUTED_VALUE"""),"РУБЕЖНОЕ")</f>
        <v>РУБЕЖНОЕ</v>
      </c>
      <c r="S360" t="str">
        <f ca="1">IFERROR(__xludf.DUMMYFUNCTION("""COMPUTED_VALUE"""),"08.08.21 13-00")</f>
        <v>08.08.21 13-00</v>
      </c>
      <c r="T360">
        <f ca="1">IFERROR(__xludf.DUMMYFUNCTION("""COMPUTED_VALUE"""),2992)</f>
        <v>2992</v>
      </c>
      <c r="U360" t="str">
        <f ca="1">IFERROR(__xludf.DUMMYFUNCTION("""COMPUTED_VALUE"""),"06.08.2022 ДР")</f>
        <v>06.08.2022 ДР</v>
      </c>
      <c r="Z360" t="str">
        <f ca="1">IFERROR(__xludf.DUMMYFUNCTION("""COMPUTED_VALUE"""),"ООО «ЕУ-ТРАНС»")</f>
        <v>ООО «ЕУ-ТРАНС»</v>
      </c>
      <c r="AA360" t="str">
        <f ca="1">IFERROR(__xludf.DUMMYFUNCTION("""COMPUTED_VALUE"""),"12-119")</f>
        <v>12-119</v>
      </c>
      <c r="AB360" t="str">
        <f ca="1">IFERROR(__xludf.DUMMYFUNCTION("""COMPUTED_VALUE"""),"45 ПРИДН")</f>
        <v>45 ПРИДН</v>
      </c>
      <c r="AC360" t="str">
        <f ca="1">IFERROR(__xludf.DUMMYFUNCTION("""COMPUTED_VALUE"""),"45580 КАМЕНСКОЕ")</f>
        <v>45580 КАМЕНСКОЕ</v>
      </c>
      <c r="AD360" t="str">
        <f ca="1">IFERROR(__xludf.DUMMYFUNCTION("""COMPUTED_VALUE"""),"12.02.21 08-30")</f>
        <v>12.02.21 08-30</v>
      </c>
      <c r="AE360" t="str">
        <f ca="1">IFERROR(__xludf.DUMMYFUNCTION("""COMPUTED_VALUE"""),"540 НEИCПPAВНOCТЬ ЗAПOPA ЛЮКA")</f>
        <v>540 НEИCПPAВНOCТЬ ЗAПOPA ЛЮКA</v>
      </c>
      <c r="AF360" t="str">
        <f ca="1">IFERROR(__xludf.DUMMYFUNCTION("""COMPUTED_VALUE"""),"45 ПРИДН")</f>
        <v>45 ПРИДН</v>
      </c>
      <c r="AG360" t="str">
        <f ca="1">IFERROR(__xludf.DUMMYFUNCTION("""COMPUTED_VALUE"""),"45580 КАМЕНСКОЕ")</f>
        <v>45580 КАМЕНСКОЕ</v>
      </c>
      <c r="AH360" t="str">
        <f ca="1">IFERROR(__xludf.DUMMYFUNCTION("""COMPUTED_VALUE"""),"12.02.21 23-00")</f>
        <v>12.02.21 23-00</v>
      </c>
      <c r="AI360" s="21">
        <f ca="1">IFERROR(__xludf.DUMMYFUNCTION("""COMPUTED_VALUE"""),44420.357662037)</f>
        <v>44420.357662037</v>
      </c>
    </row>
    <row r="361" spans="1:35" ht="13" x14ac:dyDescent="0.15">
      <c r="A361">
        <f ca="1">IFERROR(__xludf.DUMMYFUNCTION("""COMPUTED_VALUE"""),1291)</f>
        <v>1291</v>
      </c>
      <c r="B361" t="str">
        <f ca="1">IFERROR(__xludf.DUMMYFUNCTION("""COMPUTED_VALUE"""),"Техрейс")</f>
        <v>Техрейс</v>
      </c>
      <c r="C361" t="str">
        <f ca="1">IFERROR(__xludf.DUMMYFUNCTION("""COMPUTED_VALUE"""),"ЕУ-Транс")</f>
        <v>ЕУ-Транс</v>
      </c>
      <c r="D361">
        <f ca="1">IFERROR(__xludf.DUMMYFUNCTION("""COMPUTED_VALUE"""),56627136)</f>
        <v>56627136</v>
      </c>
      <c r="E361" t="str">
        <f ca="1">IFERROR(__xludf.DUMMYFUNCTION("""COMPUTED_VALUE"""),"60 ПОЛУВАГОНЫ")</f>
        <v>60 ПОЛУВАГОНЫ</v>
      </c>
      <c r="F361">
        <f ca="1">IFERROR(__xludf.DUMMYFUNCTION("""COMPUTED_VALUE"""),16120)</f>
        <v>16120</v>
      </c>
      <c r="G361" t="str">
        <f ca="1">IFERROR(__xludf.DUMMYFUNCTION("""COMPUTED_VALUE"""),"УГОЛЬ КАМЕН ПР")</f>
        <v>УГОЛЬ КАМЕН ПР</v>
      </c>
      <c r="H361">
        <f ca="1">IFERROR(__xludf.DUMMYFUNCTION("""COMPUTED_VALUE"""),67)</f>
        <v>67</v>
      </c>
      <c r="I361">
        <f ca="1">IFERROR(__xludf.DUMMYFUNCTION("""COMPUTED_VALUE"""),7160)</f>
        <v>7160</v>
      </c>
      <c r="J361" t="str">
        <f ca="1">IFERROR(__xludf.DUMMYFUNCTION("""COMPUTED_VALUE"""),"2109 (48200-430-45000) ПОКРОВСК - НИЖНЕДН-УЗЕЛ")</f>
        <v>2109 (48200-430-45000) ПОКРОВСК - НИЖНЕДН-УЗЕЛ</v>
      </c>
      <c r="K361">
        <f ca="1">IFERROR(__xludf.DUMMYFUNCTION("""COMPUTED_VALUE"""),45000)</f>
        <v>45000</v>
      </c>
      <c r="L361" t="str">
        <f ca="1">IFERROR(__xludf.DUMMYFUNCTION("""COMPUTED_VALUE"""),"НИЖНЕДН-УЗЕЛ")</f>
        <v>НИЖНЕДН-УЗЕЛ</v>
      </c>
      <c r="M361" t="str">
        <f ca="1">IFERROR(__xludf.DUMMYFUNCTION("""COMPUTED_VALUE"""),"12.08.21 07-30")</f>
        <v>12.08.21 07-30</v>
      </c>
      <c r="N361" t="str">
        <f ca="1">IFERROR(__xludf.DUMMYFUNCTION("""COMPUTED_VALUE"""),"51 ПРИБ")</f>
        <v>51 ПРИБ</v>
      </c>
      <c r="O361">
        <f ca="1">IFERROR(__xludf.DUMMYFUNCTION("""COMPUTED_VALUE"""),42230)</f>
        <v>42230</v>
      </c>
      <c r="P361" t="str">
        <f ca="1">IFERROR(__xludf.DUMMYFUNCTION("""COMPUTED_VALUE"""),"КОРСУНЬ")</f>
        <v>КОРСУНЬ</v>
      </c>
      <c r="Q361">
        <f ca="1">IFERROR(__xludf.DUMMYFUNCTION("""COMPUTED_VALUE"""),48220)</f>
        <v>48220</v>
      </c>
      <c r="R361" t="str">
        <f ca="1">IFERROR(__xludf.DUMMYFUNCTION("""COMPUTED_VALUE"""),"НОВОГРОДОВКА")</f>
        <v>НОВОГРОДОВКА</v>
      </c>
      <c r="S361" t="str">
        <f ca="1">IFERROR(__xludf.DUMMYFUNCTION("""COMPUTED_VALUE"""),"10.08.21 18-10")</f>
        <v>10.08.21 18-10</v>
      </c>
      <c r="T361">
        <f ca="1">IFERROR(__xludf.DUMMYFUNCTION("""COMPUTED_VALUE"""),5575)</f>
        <v>5575</v>
      </c>
      <c r="U361" t="str">
        <f ca="1">IFERROR(__xludf.DUMMYFUNCTION("""COMPUTED_VALUE"""),"02.03.2024 ТР-1")</f>
        <v>02.03.2024 ТР-1</v>
      </c>
      <c r="Z361" t="str">
        <f ca="1">IFERROR(__xludf.DUMMYFUNCTION("""COMPUTED_VALUE"""),"ООО ""ЕУ-ТРАНС""")</f>
        <v>ООО "ЕУ-ТРАНС"</v>
      </c>
      <c r="AA361" t="str">
        <f ca="1">IFERROR(__xludf.DUMMYFUNCTION("""COMPUTED_VALUE"""),"12-119")</f>
        <v>12-119</v>
      </c>
      <c r="AB361" t="str">
        <f ca="1">IFERROR(__xludf.DUMMYFUNCTION("""COMPUTED_VALUE"""),"40 ОД")</f>
        <v>40 ОД</v>
      </c>
      <c r="AC361" t="str">
        <f ca="1">IFERROR(__xludf.DUMMYFUNCTION("""COMPUTED_VALUE"""),"41190 ПОМОШНАЯ")</f>
        <v>41190 ПОМОШНАЯ</v>
      </c>
      <c r="AD361" t="str">
        <f ca="1">IFERROR(__xludf.DUMMYFUNCTION("""COMPUTED_VALUE"""),"09.04.21 11-50")</f>
        <v>09.04.21 11-50</v>
      </c>
      <c r="AE361" t="str">
        <f ca="1">IFERROR(__xludf.DUMMYFUNCTION("""COMPUTED_VALUE"""),"570 ИCТEК КAЛЕНДАРНЫЙ CPOК ДEПOВCКОГО PEМOНТA")</f>
        <v>570 ИCТEК КAЛЕНДАРНЫЙ CPOК ДEПOВCКОГО PEМOНТA</v>
      </c>
      <c r="AF361" t="str">
        <f ca="1">IFERROR(__xludf.DUMMYFUNCTION("""COMPUTED_VALUE"""),"40 ОД")</f>
        <v>40 ОД</v>
      </c>
      <c r="AG361" t="str">
        <f ca="1">IFERROR(__xludf.DUMMYFUNCTION("""COMPUTED_VALUE"""),"41190 ПОМОШНАЯ")</f>
        <v>41190 ПОМОШНАЯ</v>
      </c>
      <c r="AH361" t="str">
        <f ca="1">IFERROR(__xludf.DUMMYFUNCTION("""COMPUTED_VALUE"""),"09.04.21 16-15")</f>
        <v>09.04.21 16-15</v>
      </c>
      <c r="AI361" s="21">
        <f ca="1">IFERROR(__xludf.DUMMYFUNCTION("""COMPUTED_VALUE"""),44420.357662037)</f>
        <v>44420.357662037</v>
      </c>
    </row>
    <row r="362" spans="1:35" ht="13" x14ac:dyDescent="0.15">
      <c r="A362">
        <f ca="1">IFERROR(__xludf.DUMMYFUNCTION("""COMPUTED_VALUE"""),1292)</f>
        <v>1292</v>
      </c>
      <c r="B362" t="str">
        <f ca="1">IFERROR(__xludf.DUMMYFUNCTION("""COMPUTED_VALUE"""),"Ламан-Шипинг")</f>
        <v>Ламан-Шипинг</v>
      </c>
      <c r="C362" t="str">
        <f ca="1">IFERROR(__xludf.DUMMYFUNCTION("""COMPUTED_VALUE"""),"ЕУ-Транс")</f>
        <v>ЕУ-Транс</v>
      </c>
      <c r="D362">
        <f ca="1">IFERROR(__xludf.DUMMYFUNCTION("""COMPUTED_VALUE"""),56627326)</f>
        <v>56627326</v>
      </c>
      <c r="E362" t="str">
        <f ca="1">IFERROR(__xludf.DUMMYFUNCTION("""COMPUTED_VALUE"""),"60 ПОЛУВАГОНЫ")</f>
        <v>60 ПОЛУВАГОНЫ</v>
      </c>
      <c r="F362">
        <f ca="1">IFERROR(__xludf.DUMMYFUNCTION("""COMPUTED_VALUE"""),23107)</f>
        <v>23107</v>
      </c>
      <c r="G362" t="str">
        <f ca="1">IFERROR(__xludf.DUMMYFUNCTION("""COMPUTED_VALUE"""),"ПЕСОК СТРОИТ")</f>
        <v>ПЕСОК СТРОИТ</v>
      </c>
      <c r="H362">
        <f ca="1">IFERROR(__xludf.DUMMYFUNCTION("""COMPUTED_VALUE"""),70)</f>
        <v>70</v>
      </c>
      <c r="I362">
        <f ca="1">IFERROR(__xludf.DUMMYFUNCTION("""COMPUTED_VALUE"""),1213)</f>
        <v>1213</v>
      </c>
      <c r="J362" t="str">
        <f ca="1">IFERROR(__xludf.DUMMYFUNCTION("""COMPUTED_VALUE"""),"9512 (34750-007-32000) ПЕНИЗЕВИЧИ - ДАРНИЦА")</f>
        <v>9512 (34750-007-32000) ПЕНИЗЕВИЧИ - ДАРНИЦА</v>
      </c>
      <c r="K362">
        <f ca="1">IFERROR(__xludf.DUMMYFUNCTION("""COMPUTED_VALUE"""),32010)</f>
        <v>32010</v>
      </c>
      <c r="L362" t="str">
        <f ca="1">IFERROR(__xludf.DUMMYFUNCTION("""COMPUTED_VALUE"""),"КИЕВ-ДЕМЕЕВС")</f>
        <v>КИЕВ-ДЕМЕЕВС</v>
      </c>
      <c r="M362" t="str">
        <f ca="1">IFERROR(__xludf.DUMMYFUNCTION("""COMPUTED_VALUE"""),"11.08.21 16-54")</f>
        <v>11.08.21 16-54</v>
      </c>
      <c r="N362" t="str">
        <f ca="1">IFERROR(__xludf.DUMMYFUNCTION("""COMPUTED_VALUE"""),"01 ПРИБ")</f>
        <v>01 ПРИБ</v>
      </c>
      <c r="O362">
        <f ca="1">IFERROR(__xludf.DUMMYFUNCTION("""COMPUTED_VALUE"""),32330)</f>
        <v>32330</v>
      </c>
      <c r="P362" t="str">
        <f ca="1">IFERROR(__xludf.DUMMYFUNCTION("""COMPUTED_VALUE"""),"БРОВАРЫ")</f>
        <v>БРОВАРЫ</v>
      </c>
      <c r="Q362">
        <f ca="1">IFERROR(__xludf.DUMMYFUNCTION("""COMPUTED_VALUE"""),34750)</f>
        <v>34750</v>
      </c>
      <c r="R362" t="str">
        <f ca="1">IFERROR(__xludf.DUMMYFUNCTION("""COMPUTED_VALUE"""),"ПЕНИЗЕВИЧИ")</f>
        <v>ПЕНИЗЕВИЧИ</v>
      </c>
      <c r="S362" t="str">
        <f ca="1">IFERROR(__xludf.DUMMYFUNCTION("""COMPUTED_VALUE"""),"11.08.21 12-00")</f>
        <v>11.08.21 12-00</v>
      </c>
      <c r="T362">
        <f ca="1">IFERROR(__xludf.DUMMYFUNCTION("""COMPUTED_VALUE"""),3437)</f>
        <v>3437</v>
      </c>
      <c r="U362" t="str">
        <f ca="1">IFERROR(__xludf.DUMMYFUNCTION("""COMPUTED_VALUE"""),"30.07.2022 ДР")</f>
        <v>30.07.2022 ДР</v>
      </c>
      <c r="Z362" t="str">
        <f ca="1">IFERROR(__xludf.DUMMYFUNCTION("""COMPUTED_VALUE"""),"ООО «ЕУ-ТРАНС»")</f>
        <v>ООО «ЕУ-ТРАНС»</v>
      </c>
      <c r="AA362" t="str">
        <f ca="1">IFERROR(__xludf.DUMMYFUNCTION("""COMPUTED_VALUE"""),"12-119")</f>
        <v>12-119</v>
      </c>
      <c r="AB362" t="str">
        <f ca="1">IFERROR(__xludf.DUMMYFUNCTION("""COMPUTED_VALUE"""),"45 ПРИДН")</f>
        <v>45 ПРИДН</v>
      </c>
      <c r="AC362" t="str">
        <f ca="1">IFERROR(__xludf.DUMMYFUNCTION("""COMPUTED_VALUE"""),"45580 КАМЕНСКОЕ")</f>
        <v>45580 КАМЕНСКОЕ</v>
      </c>
      <c r="AD362" t="str">
        <f ca="1">IFERROR(__xludf.DUMMYFUNCTION("""COMPUTED_VALUE"""),"17.02.21 08-05")</f>
        <v>17.02.21 08-05</v>
      </c>
      <c r="AE362" t="str">
        <f ca="1">IFERROR(__xludf.DUMMYFUNCTION("""COMPUTED_VALUE"""),"540 НEИCПPAВНOCТЬ ЗAПOPA ЛЮКA")</f>
        <v>540 НEИCПPAВНOCТЬ ЗAПOPA ЛЮКA</v>
      </c>
      <c r="AF362" t="str">
        <f ca="1">IFERROR(__xludf.DUMMYFUNCTION("""COMPUTED_VALUE"""),"45 ПРИДН")</f>
        <v>45 ПРИДН</v>
      </c>
      <c r="AG362" t="str">
        <f ca="1">IFERROR(__xludf.DUMMYFUNCTION("""COMPUTED_VALUE"""),"45580 КАМЕНСКОЕ")</f>
        <v>45580 КАМЕНСКОЕ</v>
      </c>
      <c r="AH362" t="str">
        <f ca="1">IFERROR(__xludf.DUMMYFUNCTION("""COMPUTED_VALUE"""),"17.02.21 23-10")</f>
        <v>17.02.21 23-10</v>
      </c>
      <c r="AI362" s="21">
        <f ca="1">IFERROR(__xludf.DUMMYFUNCTION("""COMPUTED_VALUE"""),44420.357662037)</f>
        <v>44420.357662037</v>
      </c>
    </row>
    <row r="363" spans="1:35" ht="13" x14ac:dyDescent="0.15">
      <c r="A363">
        <f ca="1">IFERROR(__xludf.DUMMYFUNCTION("""COMPUTED_VALUE"""),1293)</f>
        <v>1293</v>
      </c>
      <c r="B363" t="str">
        <f ca="1">IFERROR(__xludf.DUMMYFUNCTION("""COMPUTED_VALUE"""),"Техрейс")</f>
        <v>Техрейс</v>
      </c>
      <c r="C363" t="str">
        <f ca="1">IFERROR(__xludf.DUMMYFUNCTION("""COMPUTED_VALUE"""),"ЕУ-Транс")</f>
        <v>ЕУ-Транс</v>
      </c>
      <c r="D363">
        <f ca="1">IFERROR(__xludf.DUMMYFUNCTION("""COMPUTED_VALUE"""),52807211)</f>
        <v>52807211</v>
      </c>
      <c r="E363" t="str">
        <f ca="1">IFERROR(__xludf.DUMMYFUNCTION("""COMPUTED_VALUE"""),"60 ПОЛУВАГОНЫ")</f>
        <v>60 ПОЛУВАГОНЫ</v>
      </c>
      <c r="F363">
        <f ca="1">IFERROR(__xludf.DUMMYFUNCTION("""COMPUTED_VALUE"""),42103)</f>
        <v>42103</v>
      </c>
      <c r="G363" t="str">
        <f ca="1">IFERROR(__xludf.DUMMYFUNCTION("""COMPUTED_VALUE"""),"ВАГОНЫ ЖД СВ")</f>
        <v>ВАГОНЫ ЖД СВ</v>
      </c>
      <c r="H363">
        <f ca="1">IFERROR(__xludf.DUMMYFUNCTION("""COMPUTED_VALUE"""),0)</f>
        <v>0</v>
      </c>
      <c r="I363">
        <f ca="1">IFERROR(__xludf.DUMMYFUNCTION("""COMPUTED_VALUE"""),5343)</f>
        <v>5343</v>
      </c>
      <c r="J363" t="str">
        <f ca="1">IFERROR(__xludf.DUMMYFUNCTION("""COMPUTED_VALUE"""),"9510 (48620-052-46000) ВОЛНОВАХА - ЗАПОРОЖ-ЛЕВ")</f>
        <v>9510 (48620-052-46000) ВОЛНОВАХА - ЗАПОРОЖ-ЛЕВ</v>
      </c>
      <c r="K363">
        <f ca="1">IFERROR(__xludf.DUMMYFUNCTION("""COMPUTED_VALUE"""),46000)</f>
        <v>46000</v>
      </c>
      <c r="L363" t="str">
        <f ca="1">IFERROR(__xludf.DUMMYFUNCTION("""COMPUTED_VALUE"""),"ЗАПОРОЖ-ЛЕВ")</f>
        <v>ЗАПОРОЖ-ЛЕВ</v>
      </c>
      <c r="M363" t="str">
        <f ca="1">IFERROR(__xludf.DUMMYFUNCTION("""COMPUTED_VALUE"""),"12.08.21 05-25")</f>
        <v>12.08.21 05-25</v>
      </c>
      <c r="N363" t="str">
        <f ca="1">IFERROR(__xludf.DUMMYFUNCTION("""COMPUTED_VALUE"""),"04 РАСФ")</f>
        <v>04 РАСФ</v>
      </c>
      <c r="O363">
        <f ca="1">IFERROR(__xludf.DUMMYFUNCTION("""COMPUTED_VALUE"""),46720)</f>
        <v>46720</v>
      </c>
      <c r="P363" t="str">
        <f ca="1">IFERROR(__xludf.DUMMYFUNCTION("""COMPUTED_VALUE"""),"КРИВОЙ РОГ")</f>
        <v>КРИВОЙ РОГ</v>
      </c>
      <c r="Q363">
        <f ca="1">IFERROR(__xludf.DUMMYFUNCTION("""COMPUTED_VALUE"""),48500)</f>
        <v>48500</v>
      </c>
      <c r="R363" t="str">
        <f ca="1">IFERROR(__xludf.DUMMYFUNCTION("""COMPUTED_VALUE"""),"АСЛАНОВО")</f>
        <v>АСЛАНОВО</v>
      </c>
      <c r="S363" t="str">
        <f ca="1">IFERROR(__xludf.DUMMYFUNCTION("""COMPUTED_VALUE"""),"10.08.21 10-20")</f>
        <v>10.08.21 10-20</v>
      </c>
      <c r="T363">
        <f ca="1">IFERROR(__xludf.DUMMYFUNCTION("""COMPUTED_VALUE"""),8200)</f>
        <v>8200</v>
      </c>
      <c r="U363" t="str">
        <f ca="1">IFERROR(__xludf.DUMMYFUNCTION("""COMPUTED_VALUE"""),"24.12.2022 ДР")</f>
        <v>24.12.2022 ДР</v>
      </c>
      <c r="Z363" t="str">
        <f ca="1">IFERROR(__xludf.DUMMYFUNCTION("""COMPUTED_VALUE"""),"ООО ""ЕУ-ТРАНС""")</f>
        <v>ООО "ЕУ-ТРАНС"</v>
      </c>
      <c r="AA363" t="str">
        <f ca="1">IFERROR(__xludf.DUMMYFUNCTION("""COMPUTED_VALUE"""),"12-532")</f>
        <v>12-532</v>
      </c>
      <c r="AB363" t="str">
        <f ca="1">IFERROR(__xludf.DUMMYFUNCTION("""COMPUTED_VALUE"""),"45 ПРИДН")</f>
        <v>45 ПРИДН</v>
      </c>
      <c r="AC363" t="str">
        <f ca="1">IFERROR(__xludf.DUMMYFUNCTION("""COMPUTED_VALUE"""),"46720 КРИВОЙ РОГ")</f>
        <v>46720 КРИВОЙ РОГ</v>
      </c>
      <c r="AD363" t="str">
        <f ca="1">IFERROR(__xludf.DUMMYFUNCTION("""COMPUTED_VALUE"""),"17.07.21 09-55")</f>
        <v>17.07.21 09-55</v>
      </c>
      <c r="AE363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63" t="str">
        <f ca="1">IFERROR(__xludf.DUMMYFUNCTION("""COMPUTED_VALUE"""),"45 ПРИДН")</f>
        <v>45 ПРИДН</v>
      </c>
      <c r="AG363" t="str">
        <f ca="1">IFERROR(__xludf.DUMMYFUNCTION("""COMPUTED_VALUE"""),"46720 КРИВОЙ РОГ")</f>
        <v>46720 КРИВОЙ РОГ</v>
      </c>
      <c r="AH363" t="str">
        <f ca="1">IFERROR(__xludf.DUMMYFUNCTION("""COMPUTED_VALUE"""),"18.07.21 07-00")</f>
        <v>18.07.21 07-00</v>
      </c>
      <c r="AI363" s="21">
        <f ca="1">IFERROR(__xludf.DUMMYFUNCTION("""COMPUTED_VALUE"""),44420.357662037)</f>
        <v>44420.357662037</v>
      </c>
    </row>
    <row r="364" spans="1:35" ht="13" x14ac:dyDescent="0.15">
      <c r="A364">
        <f ca="1">IFERROR(__xludf.DUMMYFUNCTION("""COMPUTED_VALUE"""),1295)</f>
        <v>1295</v>
      </c>
      <c r="B364" t="str">
        <f ca="1">IFERROR(__xludf.DUMMYFUNCTION("""COMPUTED_VALUE"""),"Техрейс")</f>
        <v>Техрейс</v>
      </c>
      <c r="C364" t="str">
        <f ca="1">IFERROR(__xludf.DUMMYFUNCTION("""COMPUTED_VALUE"""),"ЕУ-Транс")</f>
        <v>ЕУ-Транс</v>
      </c>
      <c r="D364">
        <f ca="1">IFERROR(__xludf.DUMMYFUNCTION("""COMPUTED_VALUE"""),56610231)</f>
        <v>56610231</v>
      </c>
      <c r="E364" t="str">
        <f ca="1">IFERROR(__xludf.DUMMYFUNCTION("""COMPUTED_VALUE"""),"60 ПОЛУВАГОНЫ")</f>
        <v>60 ПОЛУВАГОНЫ</v>
      </c>
      <c r="F364">
        <f ca="1">IFERROR(__xludf.DUMMYFUNCTION("""COMPUTED_VALUE"""),24132)</f>
        <v>24132</v>
      </c>
      <c r="G364" t="str">
        <f ca="1">IFERROR(__xludf.DUMMYFUNCTION("""COMPUTED_VALUE"""),"КАМЕНЬ ГИПСОВ")</f>
        <v>КАМЕНЬ ГИПСОВ</v>
      </c>
      <c r="H364">
        <f ca="1">IFERROR(__xludf.DUMMYFUNCTION("""COMPUTED_VALUE"""),69)</f>
        <v>69</v>
      </c>
      <c r="I364">
        <f ca="1">IFERROR(__xludf.DUMMYFUNCTION("""COMPUTED_VALUE"""),3203)</f>
        <v>3203</v>
      </c>
      <c r="J364" t="str">
        <f ca="1">IFERROR(__xludf.DUMMYFUNCTION("""COMPUTED_VALUE"""),"4832 (41610-040-41680) СНИГИРЕВКА - КАХОВКА")</f>
        <v>4832 (41610-040-41680) СНИГИРЕВКА - КАХОВКА</v>
      </c>
      <c r="K364">
        <f ca="1">IFERROR(__xludf.DUMMYFUNCTION("""COMPUTED_VALUE"""),41680)</f>
        <v>41680</v>
      </c>
      <c r="L364" t="str">
        <f ca="1">IFERROR(__xludf.DUMMYFUNCTION("""COMPUTED_VALUE"""),"КАХОВКА")</f>
        <v>КАХОВКА</v>
      </c>
      <c r="M364" t="str">
        <f ca="1">IFERROR(__xludf.DUMMYFUNCTION("""COMPUTED_VALUE"""),"12.08.21 07-59")</f>
        <v>12.08.21 07-59</v>
      </c>
      <c r="N364" t="str">
        <f ca="1">IFERROR(__xludf.DUMMYFUNCTION("""COMPUTED_VALUE"""),"01 ПРИБ")</f>
        <v>01 ПРИБ</v>
      </c>
      <c r="O364">
        <f ca="1">IFERROR(__xludf.DUMMYFUNCTION("""COMPUTED_VALUE"""),41680)</f>
        <v>41680</v>
      </c>
      <c r="P364" t="str">
        <f ca="1">IFERROR(__xludf.DUMMYFUNCTION("""COMPUTED_VALUE"""),"КАХОВКА")</f>
        <v>КАХОВКА</v>
      </c>
      <c r="Q364">
        <f ca="1">IFERROR(__xludf.DUMMYFUNCTION("""COMPUTED_VALUE"""),49480)</f>
        <v>49480</v>
      </c>
      <c r="R364" t="str">
        <f ca="1">IFERROR(__xludf.DUMMYFUNCTION("""COMPUTED_VALUE"""),"СОЛЬ")</f>
        <v>СОЛЬ</v>
      </c>
      <c r="S364" t="str">
        <f ca="1">IFERROR(__xludf.DUMMYFUNCTION("""COMPUTED_VALUE"""),"05.08.21 23-05")</f>
        <v>05.08.21 23-05</v>
      </c>
      <c r="T364">
        <f ca="1">IFERROR(__xludf.DUMMYFUNCTION("""COMPUTED_VALUE"""),5377)</f>
        <v>5377</v>
      </c>
      <c r="U364" t="str">
        <f ca="1">IFERROR(__xludf.DUMMYFUNCTION("""COMPUTED_VALUE"""),"25.06.2022 ДР")</f>
        <v>25.06.2022 ДР</v>
      </c>
      <c r="Z364" t="str">
        <f ca="1">IFERROR(__xludf.DUMMYFUNCTION("""COMPUTED_VALUE"""),"ООО «ЕУ-Транс»")</f>
        <v>ООО «ЕУ-Транс»</v>
      </c>
      <c r="AA364" t="str">
        <f ca="1">IFERROR(__xludf.DUMMYFUNCTION("""COMPUTED_VALUE"""),"12-753")</f>
        <v>12-753</v>
      </c>
      <c r="AB364" t="str">
        <f ca="1">IFERROR(__xludf.DUMMYFUNCTION("""COMPUTED_VALUE"""),"45 ПРИДН")</f>
        <v>45 ПРИДН</v>
      </c>
      <c r="AC364" t="str">
        <f ca="1">IFERROR(__xludf.DUMMYFUNCTION("""COMPUTED_VALUE"""),"45170 ПРАВДА")</f>
        <v>45170 ПРАВДА</v>
      </c>
      <c r="AD364" t="str">
        <f ca="1">IFERROR(__xludf.DUMMYFUNCTION("""COMPUTED_VALUE"""),"25.12.20 08-10")</f>
        <v>25.12.20 08-10</v>
      </c>
      <c r="AE364" t="str">
        <f ca="1">IFERROR(__xludf.DUMMYFUNCTION("""COMPUTED_VALUE"""),"443 ИЗЛOМ PЫЧAГOВ И ТOPМOЗНЫX ТЯГ")</f>
        <v>443 ИЗЛOМ PЫЧAГOВ И ТOPМOЗНЫX ТЯГ</v>
      </c>
      <c r="AF364" t="str">
        <f ca="1">IFERROR(__xludf.DUMMYFUNCTION("""COMPUTED_VALUE"""),"45 ПРИДН")</f>
        <v>45 ПРИДН</v>
      </c>
      <c r="AG364" t="str">
        <f ca="1">IFERROR(__xludf.DUMMYFUNCTION("""COMPUTED_VALUE"""),"45170 ПРАВДА")</f>
        <v>45170 ПРАВДА</v>
      </c>
      <c r="AH364" t="str">
        <f ca="1">IFERROR(__xludf.DUMMYFUNCTION("""COMPUTED_VALUE"""),"25.12.20 15-00")</f>
        <v>25.12.20 15-00</v>
      </c>
      <c r="AI364" s="21">
        <f ca="1">IFERROR(__xludf.DUMMYFUNCTION("""COMPUTED_VALUE"""),44420.357662037)</f>
        <v>44420.357662037</v>
      </c>
    </row>
    <row r="365" spans="1:35" ht="13" x14ac:dyDescent="0.15">
      <c r="A365">
        <f ca="1">IFERROR(__xludf.DUMMYFUNCTION("""COMPUTED_VALUE"""),1296)</f>
        <v>1296</v>
      </c>
      <c r="B365" t="str">
        <f ca="1">IFERROR(__xludf.DUMMYFUNCTION("""COMPUTED_VALUE"""),"Техрейс")</f>
        <v>Техрейс</v>
      </c>
      <c r="C365" t="str">
        <f ca="1">IFERROR(__xludf.DUMMYFUNCTION("""COMPUTED_VALUE"""),"ЕУ-Транс")</f>
        <v>ЕУ-Транс</v>
      </c>
      <c r="D365">
        <f ca="1">IFERROR(__xludf.DUMMYFUNCTION("""COMPUTED_VALUE"""),56624539)</f>
        <v>56624539</v>
      </c>
      <c r="E365" t="str">
        <f ca="1">IFERROR(__xludf.DUMMYFUNCTION("""COMPUTED_VALUE"""),"60 ПОЛУВАГОНЫ")</f>
        <v>60 ПОЛУВАГОНЫ</v>
      </c>
      <c r="F365">
        <f ca="1">IFERROR(__xludf.DUMMYFUNCTION("""COMPUTED_VALUE"""),42103)</f>
        <v>42103</v>
      </c>
      <c r="G365" t="str">
        <f ca="1">IFERROR(__xludf.DUMMYFUNCTION("""COMPUTED_VALUE"""),"ВАГОНЫ ЖД СВ")</f>
        <v>ВАГОНЫ ЖД СВ</v>
      </c>
      <c r="H365">
        <f ca="1">IFERROR(__xludf.DUMMYFUNCTION("""COMPUTED_VALUE"""),0)</f>
        <v>0</v>
      </c>
      <c r="I365">
        <f ca="1">IFERROR(__xludf.DUMMYFUNCTION("""COMPUTED_VALUE"""),5343)</f>
        <v>5343</v>
      </c>
      <c r="J365" t="str">
        <f ca="1">IFERROR(__xludf.DUMMYFUNCTION("""COMPUTED_VALUE"""),"3501 (46720-472-40060) КРИВОЙ РОГ - БЕРЕГОВАЯ-Э")</f>
        <v>3501 (46720-472-40060) КРИВОЙ РОГ - БЕРЕГОВАЯ-Э</v>
      </c>
      <c r="K365">
        <f ca="1">IFERROR(__xludf.DUMMYFUNCTION("""COMPUTED_VALUE"""),46720)</f>
        <v>46720</v>
      </c>
      <c r="L365" t="str">
        <f ca="1">IFERROR(__xludf.DUMMYFUNCTION("""COMPUTED_VALUE"""),"КРИВОЙ РОГ")</f>
        <v>КРИВОЙ РОГ</v>
      </c>
      <c r="M365" t="str">
        <f ca="1">IFERROR(__xludf.DUMMYFUNCTION("""COMPUTED_VALUE"""),"12.08.21 03-45")</f>
        <v>12.08.21 03-45</v>
      </c>
      <c r="N365" t="str">
        <f ca="1">IFERROR(__xludf.DUMMYFUNCTION("""COMPUTED_VALUE"""),"98 ОТОТ")</f>
        <v>98 ОТОТ</v>
      </c>
      <c r="O365">
        <f ca="1">IFERROR(__xludf.DUMMYFUNCTION("""COMPUTED_VALUE"""),46720)</f>
        <v>46720</v>
      </c>
      <c r="P365" t="str">
        <f ca="1">IFERROR(__xludf.DUMMYFUNCTION("""COMPUTED_VALUE"""),"КРИВОЙ РОГ")</f>
        <v>КРИВОЙ РОГ</v>
      </c>
      <c r="Q365">
        <f ca="1">IFERROR(__xludf.DUMMYFUNCTION("""COMPUTED_VALUE"""),40050)</f>
        <v>40050</v>
      </c>
      <c r="R365" t="str">
        <f ca="1">IFERROR(__xludf.DUMMYFUNCTION("""COMPUTED_VALUE"""),"БЕРЕГОВАЯ")</f>
        <v>БЕРЕГОВАЯ</v>
      </c>
      <c r="S365" t="str">
        <f ca="1">IFERROR(__xludf.DUMMYFUNCTION("""COMPUTED_VALUE"""),"10.08.21 22-42")</f>
        <v>10.08.21 22-42</v>
      </c>
      <c r="T365">
        <f ca="1">IFERROR(__xludf.DUMMYFUNCTION("""COMPUTED_VALUE"""),8200)</f>
        <v>8200</v>
      </c>
      <c r="U365" t="str">
        <f ca="1">IFERROR(__xludf.DUMMYFUNCTION("""COMPUTED_VALUE"""),"23.03.2024 ТР-1")</f>
        <v>23.03.2024 ТР-1</v>
      </c>
      <c r="Z365" t="str">
        <f ca="1">IFERROR(__xludf.DUMMYFUNCTION("""COMPUTED_VALUE"""),"ООО ""ЕУ-ТРАНС""")</f>
        <v>ООО "ЕУ-ТРАНС"</v>
      </c>
      <c r="AA365" t="str">
        <f ca="1">IFERROR(__xludf.DUMMYFUNCTION("""COMPUTED_VALUE"""),"12-141")</f>
        <v>12-141</v>
      </c>
      <c r="AB365" t="str">
        <f ca="1">IFERROR(__xludf.DUMMYFUNCTION("""COMPUTED_VALUE"""),"40 ОД")</f>
        <v>40 ОД</v>
      </c>
      <c r="AC365" t="str">
        <f ca="1">IFERROR(__xludf.DUMMYFUNCTION("""COMPUTED_VALUE"""),"41190 ПОМОШНАЯ")</f>
        <v>41190 ПОМОШНАЯ</v>
      </c>
      <c r="AD365" t="str">
        <f ca="1">IFERROR(__xludf.DUMMYFUNCTION("""COMPUTED_VALUE"""),"02.04.21 08-00")</f>
        <v>02.04.21 08-00</v>
      </c>
      <c r="AE365" t="str">
        <f ca="1">IFERROR(__xludf.DUMMYFUNCTION("""COMPUTED_VALUE"""),"570 ИCТEК КAЛЕНДАРНЫЙ CPOК ДEПOВCКОГО PEМOНТA")</f>
        <v>570 ИCТEК КAЛЕНДАРНЫЙ CPOК ДEПOВCКОГО PEМOНТA</v>
      </c>
      <c r="AF365" t="str">
        <f ca="1">IFERROR(__xludf.DUMMYFUNCTION("""COMPUTED_VALUE"""),"40 ОД")</f>
        <v>40 ОД</v>
      </c>
      <c r="AG365" t="str">
        <f ca="1">IFERROR(__xludf.DUMMYFUNCTION("""COMPUTED_VALUE"""),"41190 ПОМОШНАЯ")</f>
        <v>41190 ПОМОШНАЯ</v>
      </c>
      <c r="AH365" t="str">
        <f ca="1">IFERROR(__xludf.DUMMYFUNCTION("""COMPUTED_VALUE"""),"09.04.21 16-15")</f>
        <v>09.04.21 16-15</v>
      </c>
      <c r="AI365" s="21">
        <f ca="1">IFERROR(__xludf.DUMMYFUNCTION("""COMPUTED_VALUE"""),44420.357662037)</f>
        <v>44420.357662037</v>
      </c>
    </row>
    <row r="366" spans="1:35" ht="13" x14ac:dyDescent="0.15">
      <c r="A366">
        <f ca="1">IFERROR(__xludf.DUMMYFUNCTION("""COMPUTED_VALUE"""),1297)</f>
        <v>1297</v>
      </c>
      <c r="B366" t="str">
        <f ca="1">IFERROR(__xludf.DUMMYFUNCTION("""COMPUTED_VALUE"""),"Техрейс")</f>
        <v>Техрейс</v>
      </c>
      <c r="C366" t="str">
        <f ca="1">IFERROR(__xludf.DUMMYFUNCTION("""COMPUTED_VALUE"""),"ЕУ-Транс")</f>
        <v>ЕУ-Транс</v>
      </c>
      <c r="D366">
        <f ca="1">IFERROR(__xludf.DUMMYFUNCTION("""COMPUTED_VALUE"""),56627045)</f>
        <v>56627045</v>
      </c>
      <c r="E366" t="str">
        <f ca="1">IFERROR(__xludf.DUMMYFUNCTION("""COMPUTED_VALUE"""),"60 ПОЛУВАГОНЫ")</f>
        <v>60 ПОЛУВАГОНЫ</v>
      </c>
      <c r="F366">
        <f ca="1">IFERROR(__xludf.DUMMYFUNCTION("""COMPUTED_VALUE"""),24132)</f>
        <v>24132</v>
      </c>
      <c r="G366" t="str">
        <f ca="1">IFERROR(__xludf.DUMMYFUNCTION("""COMPUTED_VALUE"""),"КАМЕНЬ ГИПСОВ")</f>
        <v>КАМЕНЬ ГИПСОВ</v>
      </c>
      <c r="H366">
        <f ca="1">IFERROR(__xludf.DUMMYFUNCTION("""COMPUTED_VALUE"""),71)</f>
        <v>71</v>
      </c>
      <c r="I366">
        <f ca="1">IFERROR(__xludf.DUMMYFUNCTION("""COMPUTED_VALUE"""),8249)</f>
        <v>8249</v>
      </c>
      <c r="J366" t="str">
        <f ca="1">IFERROR(__xludf.DUMMYFUNCTION("""COMPUTED_VALUE"""),"1111 (49480-020-49000) СОЛЬ - ЛИМАН")</f>
        <v>1111 (49480-020-49000) СОЛЬ - ЛИМАН</v>
      </c>
      <c r="K366">
        <f ca="1">IFERROR(__xludf.DUMMYFUNCTION("""COMPUTED_VALUE"""),49480)</f>
        <v>49480</v>
      </c>
      <c r="L366" t="str">
        <f ca="1">IFERROR(__xludf.DUMMYFUNCTION("""COMPUTED_VALUE"""),"СОЛЬ")</f>
        <v>СОЛЬ</v>
      </c>
      <c r="M366" t="str">
        <f ca="1">IFERROR(__xludf.DUMMYFUNCTION("""COMPUTED_VALUE"""),"12.08.21 05-25")</f>
        <v>12.08.21 05-25</v>
      </c>
      <c r="N366" t="str">
        <f ca="1">IFERROR(__xludf.DUMMYFUNCTION("""COMPUTED_VALUE"""),"05 ФОРМ")</f>
        <v>05 ФОРМ</v>
      </c>
      <c r="O366">
        <f ca="1">IFERROR(__xludf.DUMMYFUNCTION("""COMPUTED_VALUE"""),32280)</f>
        <v>32280</v>
      </c>
      <c r="P366" t="str">
        <f ca="1">IFERROR(__xludf.DUMMYFUNCTION("""COMPUTED_VALUE"""),"БЕРЕЗАНЬ")</f>
        <v>БЕРЕЗАНЬ</v>
      </c>
      <c r="Q366">
        <f ca="1">IFERROR(__xludf.DUMMYFUNCTION("""COMPUTED_VALUE"""),49480)</f>
        <v>49480</v>
      </c>
      <c r="R366" t="str">
        <f ca="1">IFERROR(__xludf.DUMMYFUNCTION("""COMPUTED_VALUE"""),"СОЛЬ")</f>
        <v>СОЛЬ</v>
      </c>
      <c r="S366" t="str">
        <f ca="1">IFERROR(__xludf.DUMMYFUNCTION("""COMPUTED_VALUE"""),"11.08.21 18-00")</f>
        <v>11.08.21 18-00</v>
      </c>
      <c r="T366">
        <f ca="1">IFERROR(__xludf.DUMMYFUNCTION("""COMPUTED_VALUE"""),5377)</f>
        <v>5377</v>
      </c>
      <c r="U366" t="str">
        <f ca="1">IFERROR(__xludf.DUMMYFUNCTION("""COMPUTED_VALUE"""),"21.07.2024 ДР")</f>
        <v>21.07.2024 ДР</v>
      </c>
      <c r="Z366" t="str">
        <f ca="1">IFERROR(__xludf.DUMMYFUNCTION("""COMPUTED_VALUE"""),"ООО ""ЕУ-ТРАНС""")</f>
        <v>ООО "ЕУ-ТРАНС"</v>
      </c>
      <c r="AA366" t="str">
        <f ca="1">IFERROR(__xludf.DUMMYFUNCTION("""COMPUTED_VALUE"""),"12-141")</f>
        <v>12-141</v>
      </c>
      <c r="AB366" t="str">
        <f ca="1">IFERROR(__xludf.DUMMYFUNCTION("""COMPUTED_VALUE"""),"40 ОД")</f>
        <v>40 ОД</v>
      </c>
      <c r="AC366" t="str">
        <f ca="1">IFERROR(__xludf.DUMMYFUNCTION("""COMPUTED_VALUE"""),"41190 ПОМОШНАЯ")</f>
        <v>41190 ПОМОШНАЯ</v>
      </c>
      <c r="AD366" t="str">
        <f ca="1">IFERROR(__xludf.DUMMYFUNCTION("""COMPUTED_VALUE"""),"09.06.21 07-05")</f>
        <v>09.06.21 07-05</v>
      </c>
      <c r="AE366" t="str">
        <f ca="1">IFERROR(__xludf.DUMMYFUNCTION("""COMPUTED_VALUE"""),"571 ИCТEК КAЛЕНДАРНЫЙ CPOК КAПИТAЛЬНОГО PEМOНТA")</f>
        <v>571 ИCТEК КAЛЕНДАРНЫЙ CPOК КAПИТAЛЬНОГО PEМOНТA</v>
      </c>
      <c r="AF366" t="str">
        <f ca="1">IFERROR(__xludf.DUMMYFUNCTION("""COMPUTED_VALUE"""),"40 ОД")</f>
        <v>40 ОД</v>
      </c>
      <c r="AG366" t="str">
        <f ca="1">IFERROR(__xludf.DUMMYFUNCTION("""COMPUTED_VALUE"""),"41190 ПОМОШНАЯ")</f>
        <v>41190 ПОМОШНАЯ</v>
      </c>
      <c r="AH366" t="str">
        <f ca="1">IFERROR(__xludf.DUMMYFUNCTION("""COMPUTED_VALUE"""),"21.07.21 16-30")</f>
        <v>21.07.21 16-30</v>
      </c>
      <c r="AI366" s="21">
        <f ca="1">IFERROR(__xludf.DUMMYFUNCTION("""COMPUTED_VALUE"""),44420.357662037)</f>
        <v>44420.357662037</v>
      </c>
    </row>
    <row r="367" spans="1:35" ht="13" x14ac:dyDescent="0.15">
      <c r="A367">
        <f ca="1">IFERROR(__xludf.DUMMYFUNCTION("""COMPUTED_VALUE"""),1298)</f>
        <v>1298</v>
      </c>
      <c r="B367" t="str">
        <f ca="1">IFERROR(__xludf.DUMMYFUNCTION("""COMPUTED_VALUE"""),"Техрейс")</f>
        <v>Техрейс</v>
      </c>
      <c r="C367" t="str">
        <f ca="1">IFERROR(__xludf.DUMMYFUNCTION("""COMPUTED_VALUE"""),"ЕУ-Транс")</f>
        <v>ЕУ-Транс</v>
      </c>
      <c r="D367">
        <f ca="1">IFERROR(__xludf.DUMMYFUNCTION("""COMPUTED_VALUE"""),56627367)</f>
        <v>56627367</v>
      </c>
      <c r="E367" t="str">
        <f ca="1">IFERROR(__xludf.DUMMYFUNCTION("""COMPUTED_VALUE"""),"60 ПОЛУВАГОНЫ")</f>
        <v>60 ПОЛУВАГОНЫ</v>
      </c>
      <c r="F367">
        <f ca="1">IFERROR(__xludf.DUMMYFUNCTION("""COMPUTED_VALUE"""),42103)</f>
        <v>42103</v>
      </c>
      <c r="G367" t="str">
        <f ca="1">IFERROR(__xludf.DUMMYFUNCTION("""COMPUTED_VALUE"""),"ВАГОНЫ ЖД СВ")</f>
        <v>ВАГОНЫ ЖД СВ</v>
      </c>
      <c r="H367">
        <f ca="1">IFERROR(__xludf.DUMMYFUNCTION("""COMPUTED_VALUE"""),0)</f>
        <v>0</v>
      </c>
      <c r="I367">
        <f ca="1">IFERROR(__xludf.DUMMYFUNCTION("""COMPUTED_VALUE"""),5343)</f>
        <v>5343</v>
      </c>
      <c r="J367" t="str">
        <f ca="1">IFERROR(__xludf.DUMMYFUNCTION("""COMPUTED_VALUE"""),"2608 (40050-073-46720) БЕРЕГОВАЯ - КРИВОЙ РОГ")</f>
        <v>2608 (40050-073-46720) БЕРЕГОВАЯ - КРИВОЙ РОГ</v>
      </c>
      <c r="K367">
        <f ca="1">IFERROR(__xludf.DUMMYFUNCTION("""COMPUTED_VALUE"""),41411)</f>
        <v>41411</v>
      </c>
      <c r="L367" t="str">
        <f ca="1">IFERROR(__xludf.DUMMYFUNCTION("""COMPUTED_VALUE"""),"ТИМКОВО")</f>
        <v>ТИМКОВО</v>
      </c>
      <c r="M367" t="str">
        <f ca="1">IFERROR(__xludf.DUMMYFUNCTION("""COMPUTED_VALUE"""),"12.08.21 06-36")</f>
        <v>12.08.21 06-36</v>
      </c>
      <c r="N367" t="str">
        <f ca="1">IFERROR(__xludf.DUMMYFUNCTION("""COMPUTED_VALUE"""),"01 ПРИБ")</f>
        <v>01 ПРИБ</v>
      </c>
      <c r="O367">
        <f ca="1">IFERROR(__xludf.DUMMYFUNCTION("""COMPUTED_VALUE"""),46720)</f>
        <v>46720</v>
      </c>
      <c r="P367" t="str">
        <f ca="1">IFERROR(__xludf.DUMMYFUNCTION("""COMPUTED_VALUE"""),"КРИВОЙ РОГ")</f>
        <v>КРИВОЙ РОГ</v>
      </c>
      <c r="Q367">
        <f ca="1">IFERROR(__xludf.DUMMYFUNCTION("""COMPUTED_VALUE"""),40050)</f>
        <v>40050</v>
      </c>
      <c r="R367" t="str">
        <f ca="1">IFERROR(__xludf.DUMMYFUNCTION("""COMPUTED_VALUE"""),"БЕРЕГОВАЯ")</f>
        <v>БЕРЕГОВАЯ</v>
      </c>
      <c r="S367" t="str">
        <f ca="1">IFERROR(__xludf.DUMMYFUNCTION("""COMPUTED_VALUE"""),"11.08.21 15-00")</f>
        <v>11.08.21 15-00</v>
      </c>
      <c r="T367">
        <f ca="1">IFERROR(__xludf.DUMMYFUNCTION("""COMPUTED_VALUE"""),8200)</f>
        <v>8200</v>
      </c>
      <c r="U367" t="str">
        <f ca="1">IFERROR(__xludf.DUMMYFUNCTION("""COMPUTED_VALUE"""),"11.04.2024 ТР-1")</f>
        <v>11.04.2024 ТР-1</v>
      </c>
      <c r="Z367" t="str">
        <f ca="1">IFERROR(__xludf.DUMMYFUNCTION("""COMPUTED_VALUE"""),"ООО ""ЕУ-ТРАНС""")</f>
        <v>ООО "ЕУ-ТРАНС"</v>
      </c>
      <c r="AA367" t="str">
        <f ca="1">IFERROR(__xludf.DUMMYFUNCTION("""COMPUTED_VALUE"""),"12-141")</f>
        <v>12-141</v>
      </c>
      <c r="AB367" t="str">
        <f ca="1">IFERROR(__xludf.DUMMYFUNCTION("""COMPUTED_VALUE"""),"40 ОД")</f>
        <v>40 ОД</v>
      </c>
      <c r="AC367" t="str">
        <f ca="1">IFERROR(__xludf.DUMMYFUNCTION("""COMPUTED_VALUE"""),"41190 ПОМОШНАЯ")</f>
        <v>41190 ПОМОШНАЯ</v>
      </c>
      <c r="AD367" t="str">
        <f ca="1">IFERROR(__xludf.DUMMYFUNCTION("""COMPUTED_VALUE"""),"06.04.21 08-00")</f>
        <v>06.04.21 08-00</v>
      </c>
      <c r="AE367" t="str">
        <f ca="1">IFERROR(__xludf.DUMMYFUNCTION("""COMPUTED_VALUE"""),"570 ИCТEК КAЛЕНДАРНЫЙ CPOК ДEПOВCКОГО PEМOНТA")</f>
        <v>570 ИCТEК КAЛЕНДАРНЫЙ CPOК ДEПOВCКОГО PEМOНТA</v>
      </c>
      <c r="AF367" t="str">
        <f ca="1">IFERROR(__xludf.DUMMYFUNCTION("""COMPUTED_VALUE"""),"40 ОД")</f>
        <v>40 ОД</v>
      </c>
      <c r="AG367" t="str">
        <f ca="1">IFERROR(__xludf.DUMMYFUNCTION("""COMPUTED_VALUE"""),"41190 ПОМОШНАЯ")</f>
        <v>41190 ПОМОШНАЯ</v>
      </c>
      <c r="AH367" t="str">
        <f ca="1">IFERROR(__xludf.DUMMYFUNCTION("""COMPUTED_VALUE"""),"11.04.21 16-30")</f>
        <v>11.04.21 16-30</v>
      </c>
      <c r="AI367" s="21">
        <f ca="1">IFERROR(__xludf.DUMMYFUNCTION("""COMPUTED_VALUE"""),44420.357662037)</f>
        <v>44420.357662037</v>
      </c>
    </row>
    <row r="368" spans="1:35" ht="13" x14ac:dyDescent="0.15">
      <c r="A368">
        <f ca="1">IFERROR(__xludf.DUMMYFUNCTION("""COMPUTED_VALUE"""),1299)</f>
        <v>1299</v>
      </c>
      <c r="B368" t="str">
        <f ca="1">IFERROR(__xludf.DUMMYFUNCTION("""COMPUTED_VALUE"""),"Лидер")</f>
        <v>Лидер</v>
      </c>
      <c r="C368" t="str">
        <f ca="1">IFERROR(__xludf.DUMMYFUNCTION("""COMPUTED_VALUE"""),"ЕУ-Транс")</f>
        <v>ЕУ-Транс</v>
      </c>
      <c r="D368">
        <f ca="1">IFERROR(__xludf.DUMMYFUNCTION("""COMPUTED_VALUE"""),56628571)</f>
        <v>56628571</v>
      </c>
      <c r="E368" t="str">
        <f ca="1">IFERROR(__xludf.DUMMYFUNCTION("""COMPUTED_VALUE"""),"60 ПОЛУВАГОНЫ")</f>
        <v>60 ПОЛУВАГОНЫ</v>
      </c>
      <c r="F368">
        <f ca="1">IFERROR(__xludf.DUMMYFUNCTION("""COMPUTED_VALUE"""),42103)</f>
        <v>42103</v>
      </c>
      <c r="G368" t="str">
        <f ca="1">IFERROR(__xludf.DUMMYFUNCTION("""COMPUTED_VALUE"""),"ВАГОНЫ ЖД СВ")</f>
        <v>ВАГОНЫ ЖД СВ</v>
      </c>
      <c r="H368">
        <f ca="1">IFERROR(__xludf.DUMMYFUNCTION("""COMPUTED_VALUE"""),0)</f>
        <v>0</v>
      </c>
      <c r="I368">
        <f ca="1">IFERROR(__xludf.DUMMYFUNCTION("""COMPUTED_VALUE"""),3437)</f>
        <v>3437</v>
      </c>
      <c r="J368" t="str">
        <f ca="1">IFERROR(__xludf.DUMMYFUNCTION("""COMPUTED_VALUE"""),"2511 (32000-595-34750) ДАРНИЦА - ПЕНИЗЕВИЧИ")</f>
        <v>2511 (32000-595-34750) ДАРНИЦА - ПЕНИЗЕВИЧИ</v>
      </c>
      <c r="K368">
        <f ca="1">IFERROR(__xludf.DUMMYFUNCTION("""COMPUTED_VALUE"""),34750)</f>
        <v>34750</v>
      </c>
      <c r="L368" t="str">
        <f ca="1">IFERROR(__xludf.DUMMYFUNCTION("""COMPUTED_VALUE"""),"ПЕНИЗЕВИЧИ")</f>
        <v>ПЕНИЗЕВИЧИ</v>
      </c>
      <c r="M368" t="str">
        <f ca="1">IFERROR(__xludf.DUMMYFUNCTION("""COMPUTED_VALUE"""),"12.08.21 07-50")</f>
        <v>12.08.21 07-50</v>
      </c>
      <c r="N368" t="str">
        <f ca="1">IFERROR(__xludf.DUMMYFUNCTION("""COMPUTED_VALUE"""),"98 ОТОТ")</f>
        <v>98 ОТОТ</v>
      </c>
      <c r="O368">
        <f ca="1">IFERROR(__xludf.DUMMYFUNCTION("""COMPUTED_VALUE"""),34750)</f>
        <v>34750</v>
      </c>
      <c r="P368" t="str">
        <f ca="1">IFERROR(__xludf.DUMMYFUNCTION("""COMPUTED_VALUE"""),"ПЕНИЗЕВИЧИ")</f>
        <v>ПЕНИЗЕВИЧИ</v>
      </c>
      <c r="Q368">
        <f ca="1">IFERROR(__xludf.DUMMYFUNCTION("""COMPUTED_VALUE"""),49870)</f>
        <v>49870</v>
      </c>
      <c r="R368" t="str">
        <f ca="1">IFERROR(__xludf.DUMMYFUNCTION("""COMPUTED_VALUE"""),"РУБЕЖНОЕ")</f>
        <v>РУБЕЖНОЕ</v>
      </c>
      <c r="S368" t="str">
        <f ca="1">IFERROR(__xludf.DUMMYFUNCTION("""COMPUTED_VALUE"""),"04.08.21 22-00")</f>
        <v>04.08.21 22-00</v>
      </c>
      <c r="T368">
        <f ca="1">IFERROR(__xludf.DUMMYFUNCTION("""COMPUTED_VALUE"""),2992)</f>
        <v>2992</v>
      </c>
      <c r="U368" t="str">
        <f ca="1">IFERROR(__xludf.DUMMYFUNCTION("""COMPUTED_VALUE"""),"29.06.2022 ДР")</f>
        <v>29.06.2022 ДР</v>
      </c>
      <c r="Z368" t="str">
        <f ca="1">IFERROR(__xludf.DUMMYFUNCTION("""COMPUTED_VALUE"""),"ООО «ЕУ-Транс»")</f>
        <v>ООО «ЕУ-Транс»</v>
      </c>
      <c r="AA368" t="str">
        <f ca="1">IFERROR(__xludf.DUMMYFUNCTION("""COMPUTED_VALUE"""),"12-753")</f>
        <v>12-753</v>
      </c>
      <c r="AB368" t="str">
        <f ca="1">IFERROR(__xludf.DUMMYFUNCTION("""COMPUTED_VALUE"""),"48 ДОН")</f>
        <v>48 ДОН</v>
      </c>
      <c r="AC368" t="str">
        <f ca="1">IFERROR(__xludf.DUMMYFUNCTION("""COMPUTED_VALUE"""),"49480 СОЛЬ")</f>
        <v>49480 СОЛЬ</v>
      </c>
      <c r="AD368" t="str">
        <f ca="1">IFERROR(__xludf.DUMMYFUNCTION("""COMPUTED_VALUE"""),"04.03.21 20-20")</f>
        <v>04.03.21 20-20</v>
      </c>
      <c r="AE368" t="str">
        <f ca="1">IFERROR(__xludf.DUMMYFUNCTION("""COMPUTED_VALUE"""),"448 НEИCПPAВНOCТЬ РУЧНОГО CТOЯНOЧНОГО ТOPМOЗA")</f>
        <v>448 НEИCПPAВНOCТЬ РУЧНОГО CТOЯНOЧНОГО ТOPМOЗA</v>
      </c>
      <c r="AF368" t="str">
        <f ca="1">IFERROR(__xludf.DUMMYFUNCTION("""COMPUTED_VALUE"""),"48 ДОН")</f>
        <v>48 ДОН</v>
      </c>
      <c r="AG368" t="str">
        <f ca="1">IFERROR(__xludf.DUMMYFUNCTION("""COMPUTED_VALUE"""),"49480 СОЛЬ")</f>
        <v>49480 СОЛЬ</v>
      </c>
      <c r="AH368" t="str">
        <f ca="1">IFERROR(__xludf.DUMMYFUNCTION("""COMPUTED_VALUE"""),"05.03.21 16-00")</f>
        <v>05.03.21 16-00</v>
      </c>
      <c r="AI368" s="21">
        <f ca="1">IFERROR(__xludf.DUMMYFUNCTION("""COMPUTED_VALUE"""),44420.357662037)</f>
        <v>44420.357662037</v>
      </c>
    </row>
    <row r="369" spans="1:35" ht="13" x14ac:dyDescent="0.15">
      <c r="A369">
        <f ca="1">IFERROR(__xludf.DUMMYFUNCTION("""COMPUTED_VALUE"""),1300)</f>
        <v>1300</v>
      </c>
      <c r="B369" t="str">
        <f ca="1">IFERROR(__xludf.DUMMYFUNCTION("""COMPUTED_VALUE"""),"Техрейс")</f>
        <v>Техрейс</v>
      </c>
      <c r="C369" t="str">
        <f ca="1">IFERROR(__xludf.DUMMYFUNCTION("""COMPUTED_VALUE"""),"ЕУ-Транс")</f>
        <v>ЕУ-Транс</v>
      </c>
      <c r="D369">
        <f ca="1">IFERROR(__xludf.DUMMYFUNCTION("""COMPUTED_VALUE"""),56697949)</f>
        <v>56697949</v>
      </c>
      <c r="E369" t="str">
        <f ca="1">IFERROR(__xludf.DUMMYFUNCTION("""COMPUTED_VALUE"""),"60 ПОЛУВАГОНЫ")</f>
        <v>60 ПОЛУВАГОНЫ</v>
      </c>
      <c r="F369">
        <f ca="1">IFERROR(__xludf.DUMMYFUNCTION("""COMPUTED_VALUE"""),14109)</f>
        <v>14109</v>
      </c>
      <c r="G369" t="str">
        <f ca="1">IFERROR(__xludf.DUMMYFUNCTION("""COMPUTED_VALUE"""),"ГЕМАТИТ")</f>
        <v>ГЕМАТИТ</v>
      </c>
      <c r="H369">
        <f ca="1">IFERROR(__xludf.DUMMYFUNCTION("""COMPUTED_VALUE"""),69)</f>
        <v>69</v>
      </c>
      <c r="I369">
        <f ca="1">IFERROR(__xludf.DUMMYFUNCTION("""COMPUTED_VALUE"""),5786)</f>
        <v>5786</v>
      </c>
      <c r="J369" t="str">
        <f ca="1">IFERROR(__xludf.DUMMYFUNCTION("""COMPUTED_VALUE"""),"2760 (40050-083-46720) БЕРЕГОВАЯ - КРИВОЙ РОГ")</f>
        <v>2760 (40050-083-46720) БЕРЕГОВАЯ - КРИВОЙ РОГ</v>
      </c>
      <c r="K369">
        <f ca="1">IFERROR(__xludf.DUMMYFUNCTION("""COMPUTED_VALUE"""),40050)</f>
        <v>40050</v>
      </c>
      <c r="L369" t="str">
        <f ca="1">IFERROR(__xludf.DUMMYFUNCTION("""COMPUTED_VALUE"""),"БЕРЕГОВАЯ")</f>
        <v>БЕРЕГОВАЯ</v>
      </c>
      <c r="M369" t="str">
        <f ca="1">IFERROR(__xludf.DUMMYFUNCTION("""COMPUTED_VALUE"""),"12.08.21 05-00")</f>
        <v>12.08.21 05-00</v>
      </c>
      <c r="N369" t="str">
        <f ca="1">IFERROR(__xludf.DUMMYFUNCTION("""COMPUTED_VALUE"""),"21 ВЫГ2")</f>
        <v>21 ВЫГ2</v>
      </c>
      <c r="O369">
        <f ca="1">IFERROR(__xludf.DUMMYFUNCTION("""COMPUTED_VALUE"""),40060)</f>
        <v>40060</v>
      </c>
      <c r="P369" t="str">
        <f ca="1">IFERROR(__xludf.DUMMYFUNCTION("""COMPUTED_VALUE"""),"БЕРЕГОВАЯ-Э")</f>
        <v>БЕРЕГОВАЯ-Э</v>
      </c>
      <c r="Q369">
        <f ca="1">IFERROR(__xludf.DUMMYFUNCTION("""COMPUTED_VALUE"""),46720)</f>
        <v>46720</v>
      </c>
      <c r="R369" t="str">
        <f ca="1">IFERROR(__xludf.DUMMYFUNCTION("""COMPUTED_VALUE"""),"КРИВОЙ РОГ")</f>
        <v>КРИВОЙ РОГ</v>
      </c>
      <c r="S369" t="str">
        <f ca="1">IFERROR(__xludf.DUMMYFUNCTION("""COMPUTED_VALUE"""),"10.08.21 10-20")</f>
        <v>10.08.21 10-20</v>
      </c>
      <c r="U369" t="str">
        <f ca="1">IFERROR(__xludf.DUMMYFUNCTION("""COMPUTED_VALUE"""),"15.08.2022 ДР")</f>
        <v>15.08.2022 ДР</v>
      </c>
      <c r="Z369" t="str">
        <f ca="1">IFERROR(__xludf.DUMMYFUNCTION("""COMPUTED_VALUE"""),"ООО «ЕУ-ТРАНС»")</f>
        <v>ООО «ЕУ-ТРАНС»</v>
      </c>
      <c r="AA369" t="str">
        <f ca="1">IFERROR(__xludf.DUMMYFUNCTION("""COMPUTED_VALUE"""),"12-753")</f>
        <v>12-753</v>
      </c>
      <c r="AB369" t="str">
        <f ca="1">IFERROR(__xludf.DUMMYFUNCTION("""COMPUTED_VALUE"""),"45 ПРИДН")</f>
        <v>45 ПРИДН</v>
      </c>
      <c r="AC369" t="str">
        <f ca="1">IFERROR(__xludf.DUMMYFUNCTION("""COMPUTED_VALUE"""),"46720 КРИВОЙ РОГ")</f>
        <v>46720 КРИВОЙ РОГ</v>
      </c>
      <c r="AD369" t="str">
        <f ca="1">IFERROR(__xludf.DUMMYFUNCTION("""COMPUTED_VALUE"""),"05.08.21 07-30")</f>
        <v>05.08.21 07-30</v>
      </c>
      <c r="AE369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69" t="str">
        <f ca="1">IFERROR(__xludf.DUMMYFUNCTION("""COMPUTED_VALUE"""),"45 ПРИДН")</f>
        <v>45 ПРИДН</v>
      </c>
      <c r="AG369" t="str">
        <f ca="1">IFERROR(__xludf.DUMMYFUNCTION("""COMPUTED_VALUE"""),"46720 КРИВОЙ РОГ")</f>
        <v>46720 КРИВОЙ РОГ</v>
      </c>
      <c r="AH369" t="str">
        <f ca="1">IFERROR(__xludf.DUMMYFUNCTION("""COMPUTED_VALUE"""),"06.08.21 01-00")</f>
        <v>06.08.21 01-00</v>
      </c>
      <c r="AI369" s="21">
        <f ca="1">IFERROR(__xludf.DUMMYFUNCTION("""COMPUTED_VALUE"""),44420.3576851851)</f>
        <v>44420.357685185103</v>
      </c>
    </row>
    <row r="370" spans="1:35" ht="13" x14ac:dyDescent="0.15">
      <c r="A370">
        <f ca="1">IFERROR(__xludf.DUMMYFUNCTION("""COMPUTED_VALUE"""),1301)</f>
        <v>1301</v>
      </c>
      <c r="B370" t="str">
        <f ca="1">IFERROR(__xludf.DUMMYFUNCTION("""COMPUTED_VALUE"""),"Техрейс")</f>
        <v>Техрейс</v>
      </c>
      <c r="C370" t="str">
        <f ca="1">IFERROR(__xludf.DUMMYFUNCTION("""COMPUTED_VALUE"""),"ЕУ-Транс")</f>
        <v>ЕУ-Транс</v>
      </c>
      <c r="D370">
        <f ca="1">IFERROR(__xludf.DUMMYFUNCTION("""COMPUTED_VALUE"""),56695117)</f>
        <v>56695117</v>
      </c>
      <c r="E370" t="str">
        <f ca="1">IFERROR(__xludf.DUMMYFUNCTION("""COMPUTED_VALUE"""),"60 ПОЛУВАГОНЫ")</f>
        <v>60 ПОЛУВАГОНЫ</v>
      </c>
      <c r="F370">
        <f ca="1">IFERROR(__xludf.DUMMYFUNCTION("""COMPUTED_VALUE"""),42103)</f>
        <v>42103</v>
      </c>
      <c r="G370" t="str">
        <f ca="1">IFERROR(__xludf.DUMMYFUNCTION("""COMPUTED_VALUE"""),"ВАГОНЫ ЖД СВ")</f>
        <v>ВАГОНЫ ЖД СВ</v>
      </c>
      <c r="H370">
        <f ca="1">IFERROR(__xludf.DUMMYFUNCTION("""COMPUTED_VALUE"""),0)</f>
        <v>0</v>
      </c>
      <c r="I370">
        <f ca="1">IFERROR(__xludf.DUMMYFUNCTION("""COMPUTED_VALUE"""),1727)</f>
        <v>1727</v>
      </c>
      <c r="J370" t="str">
        <f ca="1">IFERROR(__xludf.DUMMYFUNCTION("""COMPUTED_VALUE"""),"4831 (35030-016-35050) ДУБНО - КРЕМЕНЕЦ")</f>
        <v>4831 (35030-016-35050) ДУБНО - КРЕМЕНЕЦ</v>
      </c>
      <c r="K370">
        <f ca="1">IFERROR(__xludf.DUMMYFUNCTION("""COMPUTED_VALUE"""),35050)</f>
        <v>35050</v>
      </c>
      <c r="L370" t="str">
        <f ca="1">IFERROR(__xludf.DUMMYFUNCTION("""COMPUTED_VALUE"""),"КРЕМЕНЕЦ")</f>
        <v>КРЕМЕНЕЦ</v>
      </c>
      <c r="M370" t="str">
        <f ca="1">IFERROR(__xludf.DUMMYFUNCTION("""COMPUTED_VALUE"""),"12.08.21 04-05")</f>
        <v>12.08.21 04-05</v>
      </c>
      <c r="N370" t="str">
        <f ca="1">IFERROR(__xludf.DUMMYFUNCTION("""COMPUTED_VALUE"""),"04 РАСФ")</f>
        <v>04 РАСФ</v>
      </c>
      <c r="O370">
        <f ca="1">IFERROR(__xludf.DUMMYFUNCTION("""COMPUTED_VALUE"""),35050)</f>
        <v>35050</v>
      </c>
      <c r="P370" t="str">
        <f ca="1">IFERROR(__xludf.DUMMYFUNCTION("""COMPUTED_VALUE"""),"КРЕМЕНЕЦ")</f>
        <v>КРЕМЕНЕЦ</v>
      </c>
      <c r="Q370">
        <f ca="1">IFERROR(__xludf.DUMMYFUNCTION("""COMPUTED_VALUE"""),35680)</f>
        <v>35680</v>
      </c>
      <c r="R370" t="str">
        <f ca="1">IFERROR(__xludf.DUMMYFUNCTION("""COMPUTED_VALUE"""),"КОСТОПОЛЬ")</f>
        <v>КОСТОПОЛЬ</v>
      </c>
      <c r="S370" t="str">
        <f ca="1">IFERROR(__xludf.DUMMYFUNCTION("""COMPUTED_VALUE"""),"31.07.21 20-02")</f>
        <v>31.07.21 20-02</v>
      </c>
      <c r="T370">
        <f ca="1">IFERROR(__xludf.DUMMYFUNCTION("""COMPUTED_VALUE"""),8200)</f>
        <v>8200</v>
      </c>
      <c r="U370" t="str">
        <f ca="1">IFERROR(__xludf.DUMMYFUNCTION("""COMPUTED_VALUE"""),"11.07.2022 ДР")</f>
        <v>11.07.2022 ДР</v>
      </c>
      <c r="Z370" t="str">
        <f ca="1">IFERROR(__xludf.DUMMYFUNCTION("""COMPUTED_VALUE"""),"ООО «ЕУ-Транс»")</f>
        <v>ООО «ЕУ-Транс»</v>
      </c>
      <c r="AA370" t="str">
        <f ca="1">IFERROR(__xludf.DUMMYFUNCTION("""COMPUTED_VALUE"""),"12-753")</f>
        <v>12-753</v>
      </c>
      <c r="AB370" t="str">
        <f ca="1">IFERROR(__xludf.DUMMYFUNCTION("""COMPUTED_VALUE"""),"45 ПРИДН")</f>
        <v>45 ПРИДН</v>
      </c>
      <c r="AC370" t="str">
        <f ca="1">IFERROR(__xludf.DUMMYFUNCTION("""COMPUTED_VALUE"""),"45460 АРОМАТНАЯ")</f>
        <v>45460 АРОМАТНАЯ</v>
      </c>
      <c r="AD370" t="str">
        <f ca="1">IFERROR(__xludf.DUMMYFUNCTION("""COMPUTED_VALUE"""),"21.01.21 12-00")</f>
        <v>21.01.21 12-00</v>
      </c>
      <c r="AE370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70" t="str">
        <f ca="1">IFERROR(__xludf.DUMMYFUNCTION("""COMPUTED_VALUE"""),"45 ПРИДН")</f>
        <v>45 ПРИДН</v>
      </c>
      <c r="AG370" t="str">
        <f ca="1">IFERROR(__xludf.DUMMYFUNCTION("""COMPUTED_VALUE"""),"45460 АРОМАТНАЯ")</f>
        <v>45460 АРОМАТНАЯ</v>
      </c>
      <c r="AH370" t="str">
        <f ca="1">IFERROR(__xludf.DUMMYFUNCTION("""COMPUTED_VALUE"""),"21.01.21 18-00")</f>
        <v>21.01.21 18-00</v>
      </c>
      <c r="AI370" s="21">
        <f ca="1">IFERROR(__xludf.DUMMYFUNCTION("""COMPUTED_VALUE"""),44420.3576851851)</f>
        <v>44420.357685185103</v>
      </c>
    </row>
    <row r="371" spans="1:35" ht="13" x14ac:dyDescent="0.15">
      <c r="A371">
        <f ca="1">IFERROR(__xludf.DUMMYFUNCTION("""COMPUTED_VALUE"""),1302)</f>
        <v>1302</v>
      </c>
      <c r="B371" t="str">
        <f ca="1">IFERROR(__xludf.DUMMYFUNCTION("""COMPUTED_VALUE"""),"Техрейс")</f>
        <v>Техрейс</v>
      </c>
      <c r="C371" t="str">
        <f ca="1">IFERROR(__xludf.DUMMYFUNCTION("""COMPUTED_VALUE"""),"ЕУ-Транс")</f>
        <v>ЕУ-Транс</v>
      </c>
      <c r="D371">
        <f ca="1">IFERROR(__xludf.DUMMYFUNCTION("""COMPUTED_VALUE"""),56628605)</f>
        <v>56628605</v>
      </c>
      <c r="E371" t="str">
        <f ca="1">IFERROR(__xludf.DUMMYFUNCTION("""COMPUTED_VALUE"""),"60 ПОЛУВАГОНЫ")</f>
        <v>60 ПОЛУВАГОНЫ</v>
      </c>
      <c r="F371">
        <f ca="1">IFERROR(__xludf.DUMMYFUNCTION("""COMPUTED_VALUE"""),42103)</f>
        <v>42103</v>
      </c>
      <c r="G371" t="str">
        <f ca="1">IFERROR(__xludf.DUMMYFUNCTION("""COMPUTED_VALUE"""),"ВАГОНЫ ЖД СВ")</f>
        <v>ВАГОНЫ ЖД СВ</v>
      </c>
      <c r="H371">
        <f ca="1">IFERROR(__xludf.DUMMYFUNCTION("""COMPUTED_VALUE"""),0)</f>
        <v>0</v>
      </c>
      <c r="I371">
        <f ca="1">IFERROR(__xludf.DUMMYFUNCTION("""COMPUTED_VALUE"""),8607)</f>
        <v>8607</v>
      </c>
      <c r="J371" t="str">
        <f ca="1">IFERROR(__xludf.DUMMYFUNCTION("""COMPUTED_VALUE"""),"3001 (34350-210-34270) ФАСТОВ I - КАЗАТИН I")</f>
        <v>3001 (34350-210-34270) ФАСТОВ I - КАЗАТИН I</v>
      </c>
      <c r="K371">
        <f ca="1">IFERROR(__xludf.DUMMYFUNCTION("""COMPUTED_VALUE"""),34280)</f>
        <v>34280</v>
      </c>
      <c r="L371" t="str">
        <f ca="1">IFERROR(__xludf.DUMMYFUNCTION("""COMPUTED_VALUE"""),"ЧЕРНОРУДКА")</f>
        <v>ЧЕРНОРУДКА</v>
      </c>
      <c r="M371" t="str">
        <f ca="1">IFERROR(__xludf.DUMMYFUNCTION("""COMPUTED_VALUE"""),"11.08.21 16-20")</f>
        <v>11.08.21 16-20</v>
      </c>
      <c r="N371" t="str">
        <f ca="1">IFERROR(__xludf.DUMMYFUNCTION("""COMPUTED_VALUE"""),"01 ПРИБ")</f>
        <v>01 ПРИБ</v>
      </c>
      <c r="O371">
        <f ca="1">IFERROR(__xludf.DUMMYFUNCTION("""COMPUTED_VALUE"""),33700)</f>
        <v>33700</v>
      </c>
      <c r="P371" t="str">
        <f ca="1">IFERROR(__xludf.DUMMYFUNCTION("""COMPUTED_VALUE"""),"ГУЛЕВЦЫ")</f>
        <v>ГУЛЕВЦЫ</v>
      </c>
      <c r="Q371">
        <f ca="1">IFERROR(__xludf.DUMMYFUNCTION("""COMPUTED_VALUE"""),34370)</f>
        <v>34370</v>
      </c>
      <c r="R371" t="str">
        <f ca="1">IFERROR(__xludf.DUMMYFUNCTION("""COMPUTED_VALUE"""),"УСТИНОВКА")</f>
        <v>УСТИНОВКА</v>
      </c>
      <c r="S371" t="str">
        <f ca="1">IFERROR(__xludf.DUMMYFUNCTION("""COMPUTED_VALUE"""),"03.08.21 20-05")</f>
        <v>03.08.21 20-05</v>
      </c>
      <c r="T371">
        <f ca="1">IFERROR(__xludf.DUMMYFUNCTION("""COMPUTED_VALUE"""),8200)</f>
        <v>8200</v>
      </c>
      <c r="U371" t="str">
        <f ca="1">IFERROR(__xludf.DUMMYFUNCTION("""COMPUTED_VALUE"""),"24.02.2022 ДР")</f>
        <v>24.02.2022 ДР</v>
      </c>
      <c r="Z371" t="str">
        <f ca="1">IFERROR(__xludf.DUMMYFUNCTION("""COMPUTED_VALUE"""),"ООО «ЕУ-Транс»")</f>
        <v>ООО «ЕУ-Транс»</v>
      </c>
      <c r="AA371" t="str">
        <f ca="1">IFERROR(__xludf.DUMMYFUNCTION("""COMPUTED_VALUE"""),"12-753")</f>
        <v>12-753</v>
      </c>
      <c r="AB371" t="str">
        <f ca="1">IFERROR(__xludf.DUMMYFUNCTION("""COMPUTED_VALUE"""),"40 ОД")</f>
        <v>40 ОД</v>
      </c>
      <c r="AC371" t="str">
        <f ca="1">IFERROR(__xludf.DUMMYFUNCTION("""COMPUTED_VALUE"""),"40110 ЧЕРНОМОРСКАЯ")</f>
        <v>40110 ЧЕРНОМОРСКАЯ</v>
      </c>
      <c r="AD371" t="str">
        <f ca="1">IFERROR(__xludf.DUMMYFUNCTION("""COMPUTED_VALUE"""),"20.05.21 16-10")</f>
        <v>20.05.21 16-10</v>
      </c>
      <c r="AE371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71" t="str">
        <f ca="1">IFERROR(__xludf.DUMMYFUNCTION("""COMPUTED_VALUE"""),"40 ОД")</f>
        <v>40 ОД</v>
      </c>
      <c r="AG371" t="str">
        <f ca="1">IFERROR(__xludf.DUMMYFUNCTION("""COMPUTED_VALUE"""),"40110 ЧЕРНОМОРСКАЯ")</f>
        <v>40110 ЧЕРНОМОРСКАЯ</v>
      </c>
      <c r="AH371" t="str">
        <f ca="1">IFERROR(__xludf.DUMMYFUNCTION("""COMPUTED_VALUE"""),"24.05.21 14-00")</f>
        <v>24.05.21 14-00</v>
      </c>
      <c r="AI371" s="21">
        <f ca="1">IFERROR(__xludf.DUMMYFUNCTION("""COMPUTED_VALUE"""),44420.3576851851)</f>
        <v>44420.357685185103</v>
      </c>
    </row>
    <row r="372" spans="1:35" ht="13" x14ac:dyDescent="0.15">
      <c r="A372">
        <f ca="1">IFERROR(__xludf.DUMMYFUNCTION("""COMPUTED_VALUE"""),1303)</f>
        <v>1303</v>
      </c>
      <c r="B372" t="str">
        <f ca="1">IFERROR(__xludf.DUMMYFUNCTION("""COMPUTED_VALUE"""),"Лидер")</f>
        <v>Лидер</v>
      </c>
      <c r="C372" t="str">
        <f ca="1">IFERROR(__xludf.DUMMYFUNCTION("""COMPUTED_VALUE"""),"ЕУ-Транс")</f>
        <v>ЕУ-Транс</v>
      </c>
      <c r="D372">
        <f ca="1">IFERROR(__xludf.DUMMYFUNCTION("""COMPUTED_VALUE"""),56628688)</f>
        <v>56628688</v>
      </c>
      <c r="E372" t="str">
        <f ca="1">IFERROR(__xludf.DUMMYFUNCTION("""COMPUTED_VALUE"""),"60 ПОЛУВАГОНЫ")</f>
        <v>60 ПОЛУВАГОНЫ</v>
      </c>
      <c r="F372">
        <f ca="1">IFERROR(__xludf.DUMMYFUNCTION("""COMPUTED_VALUE"""),42103)</f>
        <v>42103</v>
      </c>
      <c r="G372" t="str">
        <f ca="1">IFERROR(__xludf.DUMMYFUNCTION("""COMPUTED_VALUE"""),"ВАГОНЫ ЖД СВ")</f>
        <v>ВАГОНЫ ЖД СВ</v>
      </c>
      <c r="H372">
        <f ca="1">IFERROR(__xludf.DUMMYFUNCTION("""COMPUTED_VALUE"""),0)</f>
        <v>0</v>
      </c>
      <c r="I372">
        <f ca="1">IFERROR(__xludf.DUMMYFUNCTION("""COMPUTED_VALUE"""),3437)</f>
        <v>3437</v>
      </c>
      <c r="J372" t="str">
        <f ca="1">IFERROR(__xludf.DUMMYFUNCTION("""COMPUTED_VALUE"""),"2511 (32000-595-34750) ДАРНИЦА - ПЕНИЗЕВИЧИ")</f>
        <v>2511 (32000-595-34750) ДАРНИЦА - ПЕНИЗЕВИЧИ</v>
      </c>
      <c r="K372">
        <f ca="1">IFERROR(__xludf.DUMMYFUNCTION("""COMPUTED_VALUE"""),34750)</f>
        <v>34750</v>
      </c>
      <c r="L372" t="str">
        <f ca="1">IFERROR(__xludf.DUMMYFUNCTION("""COMPUTED_VALUE"""),"ПЕНИЗЕВИЧИ")</f>
        <v>ПЕНИЗЕВИЧИ</v>
      </c>
      <c r="M372" t="str">
        <f ca="1">IFERROR(__xludf.DUMMYFUNCTION("""COMPUTED_VALUE"""),"12.08.21 07-50")</f>
        <v>12.08.21 07-50</v>
      </c>
      <c r="N372" t="str">
        <f ca="1">IFERROR(__xludf.DUMMYFUNCTION("""COMPUTED_VALUE"""),"98 ОТОТ")</f>
        <v>98 ОТОТ</v>
      </c>
      <c r="O372">
        <f ca="1">IFERROR(__xludf.DUMMYFUNCTION("""COMPUTED_VALUE"""),34750)</f>
        <v>34750</v>
      </c>
      <c r="P372" t="str">
        <f ca="1">IFERROR(__xludf.DUMMYFUNCTION("""COMPUTED_VALUE"""),"ПЕНИЗЕВИЧИ")</f>
        <v>ПЕНИЗЕВИЧИ</v>
      </c>
      <c r="Q372">
        <f ca="1">IFERROR(__xludf.DUMMYFUNCTION("""COMPUTED_VALUE"""),49870)</f>
        <v>49870</v>
      </c>
      <c r="R372" t="str">
        <f ca="1">IFERROR(__xludf.DUMMYFUNCTION("""COMPUTED_VALUE"""),"РУБЕЖНОЕ")</f>
        <v>РУБЕЖНОЕ</v>
      </c>
      <c r="S372" t="str">
        <f ca="1">IFERROR(__xludf.DUMMYFUNCTION("""COMPUTED_VALUE"""),"04.08.21 22-00")</f>
        <v>04.08.21 22-00</v>
      </c>
      <c r="T372">
        <f ca="1">IFERROR(__xludf.DUMMYFUNCTION("""COMPUTED_VALUE"""),2992)</f>
        <v>2992</v>
      </c>
      <c r="U372" t="str">
        <f ca="1">IFERROR(__xludf.DUMMYFUNCTION("""COMPUTED_VALUE"""),"03.08.2022 ДР")</f>
        <v>03.08.2022 ДР</v>
      </c>
      <c r="Z372" t="str">
        <f ca="1">IFERROR(__xludf.DUMMYFUNCTION("""COMPUTED_VALUE"""),"ООО «ЕУ-ТРАНС»")</f>
        <v>ООО «ЕУ-ТРАНС»</v>
      </c>
      <c r="AA372" t="str">
        <f ca="1">IFERROR(__xludf.DUMMYFUNCTION("""COMPUTED_VALUE"""),"12-757")</f>
        <v>12-757</v>
      </c>
      <c r="AB372" t="str">
        <f ca="1">IFERROR(__xludf.DUMMYFUNCTION("""COMPUTED_VALUE"""),"48 ДОН")</f>
        <v>48 ДОН</v>
      </c>
      <c r="AC372" t="str">
        <f ca="1">IFERROR(__xludf.DUMMYFUNCTION("""COMPUTED_VALUE"""),"49480 СОЛЬ")</f>
        <v>49480 СОЛЬ</v>
      </c>
      <c r="AD372" t="str">
        <f ca="1">IFERROR(__xludf.DUMMYFUNCTION("""COMPUTED_VALUE"""),"04.04.21 07-00")</f>
        <v>04.04.21 07-00</v>
      </c>
      <c r="AE372" t="str">
        <f ca="1">IFERROR(__xludf.DUMMYFUNCTION("""COMPUTED_VALUE"""),"540 НEИCПPAВНOCТЬ ЗAПOPA ЛЮКA")</f>
        <v>540 НEИCПPAВНOCТЬ ЗAПOPA ЛЮКA</v>
      </c>
      <c r="AF372" t="str">
        <f ca="1">IFERROR(__xludf.DUMMYFUNCTION("""COMPUTED_VALUE"""),"48 ДОН")</f>
        <v>48 ДОН</v>
      </c>
      <c r="AG372" t="str">
        <f ca="1">IFERROR(__xludf.DUMMYFUNCTION("""COMPUTED_VALUE"""),"49480 СОЛЬ")</f>
        <v>49480 СОЛЬ</v>
      </c>
      <c r="AH372" t="str">
        <f ca="1">IFERROR(__xludf.DUMMYFUNCTION("""COMPUTED_VALUE"""),"04.04.21 16-00")</f>
        <v>04.04.21 16-00</v>
      </c>
      <c r="AI372" s="21">
        <f ca="1">IFERROR(__xludf.DUMMYFUNCTION("""COMPUTED_VALUE"""),44420.3576851851)</f>
        <v>44420.357685185103</v>
      </c>
    </row>
    <row r="373" spans="1:35" ht="13" x14ac:dyDescent="0.15">
      <c r="A373">
        <f ca="1">IFERROR(__xludf.DUMMYFUNCTION("""COMPUTED_VALUE"""),1304)</f>
        <v>1304</v>
      </c>
      <c r="B373" t="str">
        <f ca="1">IFERROR(__xludf.DUMMYFUNCTION("""COMPUTED_VALUE"""),"Техрейс")</f>
        <v>Техрейс</v>
      </c>
      <c r="C373" t="str">
        <f ca="1">IFERROR(__xludf.DUMMYFUNCTION("""COMPUTED_VALUE"""),"ЕУ-Транс")</f>
        <v>ЕУ-Транс</v>
      </c>
      <c r="D373">
        <f ca="1">IFERROR(__xludf.DUMMYFUNCTION("""COMPUTED_VALUE"""),56610306)</f>
        <v>56610306</v>
      </c>
      <c r="E373" t="str">
        <f ca="1">IFERROR(__xludf.DUMMYFUNCTION("""COMPUTED_VALUE"""),"60 ПОЛУВАГОНЫ")</f>
        <v>60 ПОЛУВАГОНЫ</v>
      </c>
      <c r="F373">
        <f ca="1">IFERROR(__xludf.DUMMYFUNCTION("""COMPUTED_VALUE"""),24133)</f>
        <v>24133</v>
      </c>
      <c r="G373" t="str">
        <f ca="1">IFERROR(__xludf.DUMMYFUNCTION("""COMPUTED_VALUE"""),"КАМЕНЬ ИЗВЕСТ")</f>
        <v>КАМЕНЬ ИЗВЕСТ</v>
      </c>
      <c r="H373">
        <f ca="1">IFERROR(__xludf.DUMMYFUNCTION("""COMPUTED_VALUE"""),67)</f>
        <v>67</v>
      </c>
      <c r="I373">
        <f ca="1">IFERROR(__xludf.DUMMYFUNCTION("""COMPUTED_VALUE"""),4257)</f>
        <v>4257</v>
      </c>
      <c r="J373" t="str">
        <f ca="1">IFERROR(__xludf.DUMMYFUNCTION("""COMPUTED_VALUE"""),"4838 (41300-077-41310) ВОЗНЕСЕНСК - АЛЕКСАНДР")</f>
        <v>4838 (41300-077-41310) ВОЗНЕСЕНСК - АЛЕКСАНДР</v>
      </c>
      <c r="K373">
        <f ca="1">IFERROR(__xludf.DUMMYFUNCTION("""COMPUTED_VALUE"""),41310)</f>
        <v>41310</v>
      </c>
      <c r="L373" t="str">
        <f ca="1">IFERROR(__xludf.DUMMYFUNCTION("""COMPUTED_VALUE"""),"АЛЕКСАНДР")</f>
        <v>АЛЕКСАНДР</v>
      </c>
      <c r="M373" t="str">
        <f ca="1">IFERROR(__xludf.DUMMYFUNCTION("""COMPUTED_VALUE"""),"12.08.21 02-15")</f>
        <v>12.08.21 02-15</v>
      </c>
      <c r="N373" t="str">
        <f ca="1">IFERROR(__xludf.DUMMYFUNCTION("""COMPUTED_VALUE"""),"98 ОТОТ")</f>
        <v>98 ОТОТ</v>
      </c>
      <c r="O373">
        <f ca="1">IFERROR(__xludf.DUMMYFUNCTION("""COMPUTED_VALUE"""),41310)</f>
        <v>41310</v>
      </c>
      <c r="P373" t="str">
        <f ca="1">IFERROR(__xludf.DUMMYFUNCTION("""COMPUTED_VALUE"""),"АЛЕКСАНДР")</f>
        <v>АЛЕКСАНДР</v>
      </c>
      <c r="Q373">
        <f ca="1">IFERROR(__xludf.DUMMYFUNCTION("""COMPUTED_VALUE"""),36120)</f>
        <v>36120</v>
      </c>
      <c r="R373" t="str">
        <f ca="1">IFERROR(__xludf.DUMMYFUNCTION("""COMPUTED_VALUE"""),"МАКСИМ.-ТЕРН")</f>
        <v>МАКСИМ.-ТЕРН</v>
      </c>
      <c r="S373" t="str">
        <f ca="1">IFERROR(__xludf.DUMMYFUNCTION("""COMPUTED_VALUE"""),"31.07.21 18-55")</f>
        <v>31.07.21 18-55</v>
      </c>
      <c r="T373">
        <f ca="1">IFERROR(__xludf.DUMMYFUNCTION("""COMPUTED_VALUE"""),1120)</f>
        <v>1120</v>
      </c>
      <c r="U373" t="str">
        <f ca="1">IFERROR(__xludf.DUMMYFUNCTION("""COMPUTED_VALUE"""),"31.07.2022 ДР")</f>
        <v>31.07.2022 ДР</v>
      </c>
      <c r="Z373" t="str">
        <f ca="1">IFERROR(__xludf.DUMMYFUNCTION("""COMPUTED_VALUE"""),"ООО «ЕУ-Транс»")</f>
        <v>ООО «ЕУ-Транс»</v>
      </c>
      <c r="AA373" t="str">
        <f ca="1">IFERROR(__xludf.DUMMYFUNCTION("""COMPUTED_VALUE"""),"12-753")</f>
        <v>12-753</v>
      </c>
      <c r="AB373" t="str">
        <f ca="1">IFERROR(__xludf.DUMMYFUNCTION("""COMPUTED_VALUE"""),"40 ОД")</f>
        <v>40 ОД</v>
      </c>
      <c r="AC373" t="str">
        <f ca="1">IFERROR(__xludf.DUMMYFUNCTION("""COMPUTED_VALUE"""),"41780 ХЕРСОН")</f>
        <v>41780 ХЕРСОН</v>
      </c>
      <c r="AD373" t="str">
        <f ca="1">IFERROR(__xludf.DUMMYFUNCTION("""COMPUTED_VALUE"""),"10.06.21 14-01")</f>
        <v>10.06.21 14-01</v>
      </c>
      <c r="AE373" t="str">
        <f ca="1">IFERROR(__xludf.DUMMYFUNCTION("""COMPUTED_VALUE"""),"540 НEИCПPAВНOCТЬ ЗAПOPA ЛЮКA")</f>
        <v>540 НEИCПPAВНOCТЬ ЗAПOPA ЛЮКA</v>
      </c>
      <c r="AF373" t="str">
        <f ca="1">IFERROR(__xludf.DUMMYFUNCTION("""COMPUTED_VALUE"""),"40 ОД")</f>
        <v>40 ОД</v>
      </c>
      <c r="AG373" t="str">
        <f ca="1">IFERROR(__xludf.DUMMYFUNCTION("""COMPUTED_VALUE"""),"41780 ХЕРСОН")</f>
        <v>41780 ХЕРСОН</v>
      </c>
      <c r="AH373" t="str">
        <f ca="1">IFERROR(__xludf.DUMMYFUNCTION("""COMPUTED_VALUE"""),"24.06.21 16-00")</f>
        <v>24.06.21 16-00</v>
      </c>
      <c r="AI373" s="21">
        <f ca="1">IFERROR(__xludf.DUMMYFUNCTION("""COMPUTED_VALUE"""),44420.3576851851)</f>
        <v>44420.357685185103</v>
      </c>
    </row>
    <row r="374" spans="1:35" ht="13" x14ac:dyDescent="0.15">
      <c r="A374">
        <f ca="1">IFERROR(__xludf.DUMMYFUNCTION("""COMPUTED_VALUE"""),1305)</f>
        <v>1305</v>
      </c>
      <c r="B374" t="str">
        <f ca="1">IFERROR(__xludf.DUMMYFUNCTION("""COMPUTED_VALUE"""),"Техрейс")</f>
        <v>Техрейс</v>
      </c>
      <c r="C374" t="str">
        <f ca="1">IFERROR(__xludf.DUMMYFUNCTION("""COMPUTED_VALUE"""),"ЕУ-Транс")</f>
        <v>ЕУ-Транс</v>
      </c>
      <c r="D374">
        <f ca="1">IFERROR(__xludf.DUMMYFUNCTION("""COMPUTED_VALUE"""),56624570)</f>
        <v>56624570</v>
      </c>
      <c r="E374" t="str">
        <f ca="1">IFERROR(__xludf.DUMMYFUNCTION("""COMPUTED_VALUE"""),"60 ПОЛУВАГОНЫ")</f>
        <v>60 ПОЛУВАГОНЫ</v>
      </c>
      <c r="F374">
        <f ca="1">IFERROR(__xludf.DUMMYFUNCTION("""COMPUTED_VALUE"""),42103)</f>
        <v>42103</v>
      </c>
      <c r="G374" t="str">
        <f ca="1">IFERROR(__xludf.DUMMYFUNCTION("""COMPUTED_VALUE"""),"ВАГОНЫ ЖД СВ")</f>
        <v>ВАГОНЫ ЖД СВ</v>
      </c>
      <c r="H374">
        <f ca="1">IFERROR(__xludf.DUMMYFUNCTION("""COMPUTED_VALUE"""),0)</f>
        <v>0</v>
      </c>
      <c r="I374">
        <f ca="1">IFERROR(__xludf.DUMMYFUNCTION("""COMPUTED_VALUE"""),8607)</f>
        <v>8607</v>
      </c>
      <c r="J374" t="str">
        <f ca="1">IFERROR(__xludf.DUMMYFUNCTION("""COMPUTED_VALUE"""),"3501 (34370-045-34350) УСТИНОВКА - ФАСТОВ I")</f>
        <v>3501 (34370-045-34350) УСТИНОВКА - ФАСТОВ I</v>
      </c>
      <c r="K374">
        <f ca="1">IFERROR(__xludf.DUMMYFUNCTION("""COMPUTED_VALUE"""),34370)</f>
        <v>34370</v>
      </c>
      <c r="L374" t="str">
        <f ca="1">IFERROR(__xludf.DUMMYFUNCTION("""COMPUTED_VALUE"""),"УСТИНОВКА")</f>
        <v>УСТИНОВКА</v>
      </c>
      <c r="M374" t="str">
        <f ca="1">IFERROR(__xludf.DUMMYFUNCTION("""COMPUTED_VALUE"""),"11.08.21 16-05")</f>
        <v>11.08.21 16-05</v>
      </c>
      <c r="N374" t="str">
        <f ca="1">IFERROR(__xludf.DUMMYFUNCTION("""COMPUTED_VALUE"""),"86 ОДПВ")</f>
        <v>86 ОДПВ</v>
      </c>
      <c r="O374">
        <f ca="1">IFERROR(__xludf.DUMMYFUNCTION("""COMPUTED_VALUE"""),33700)</f>
        <v>33700</v>
      </c>
      <c r="P374" t="str">
        <f ca="1">IFERROR(__xludf.DUMMYFUNCTION("""COMPUTED_VALUE"""),"ГУЛЕВЦЫ")</f>
        <v>ГУЛЕВЦЫ</v>
      </c>
      <c r="Q374">
        <f ca="1">IFERROR(__xludf.DUMMYFUNCTION("""COMPUTED_VALUE"""),34370)</f>
        <v>34370</v>
      </c>
      <c r="R374" t="str">
        <f ca="1">IFERROR(__xludf.DUMMYFUNCTION("""COMPUTED_VALUE"""),"УСТИНОВКА")</f>
        <v>УСТИНОВКА</v>
      </c>
      <c r="S374" t="str">
        <f ca="1">IFERROR(__xludf.DUMMYFUNCTION("""COMPUTED_VALUE"""),"11.08.21 16-05")</f>
        <v>11.08.21 16-05</v>
      </c>
      <c r="T374">
        <f ca="1">IFERROR(__xludf.DUMMYFUNCTION("""COMPUTED_VALUE"""),8200)</f>
        <v>8200</v>
      </c>
      <c r="U374" t="str">
        <f ca="1">IFERROR(__xludf.DUMMYFUNCTION("""COMPUTED_VALUE"""),"29.09.2021 ДР")</f>
        <v>29.09.2021 ДР</v>
      </c>
      <c r="Z374" t="str">
        <f ca="1">IFERROR(__xludf.DUMMYFUNCTION("""COMPUTED_VALUE"""),"ООО «ЕУ-Транс»")</f>
        <v>ООО «ЕУ-Транс»</v>
      </c>
      <c r="AA374" t="str">
        <f ca="1">IFERROR(__xludf.DUMMYFUNCTION("""COMPUTED_VALUE"""),"12-119")</f>
        <v>12-119</v>
      </c>
      <c r="AB374" t="str">
        <f ca="1">IFERROR(__xludf.DUMMYFUNCTION("""COMPUTED_VALUE"""),"32 Ю-ЗАП")</f>
        <v>32 Ю-ЗАП</v>
      </c>
      <c r="AC374" t="str">
        <f ca="1">IFERROR(__xludf.DUMMYFUNCTION("""COMPUTED_VALUE"""),"33000 ЖМЕРИНКА")</f>
        <v>33000 ЖМЕРИНКА</v>
      </c>
      <c r="AD374" t="str">
        <f ca="1">IFERROR(__xludf.DUMMYFUNCTION("""COMPUTED_VALUE"""),"15.07.21 04-35")</f>
        <v>15.07.21 04-35</v>
      </c>
      <c r="AE374" t="str">
        <f ca="1">IFERROR(__xludf.DUMMYFUNCTION("""COMPUTED_VALUE"""),"540 НEИCПPAВНOCТЬ ЗAПOPA ЛЮКA")</f>
        <v>540 НEИCПPAВНOCТЬ ЗAПOPA ЛЮКA</v>
      </c>
      <c r="AF374" t="str">
        <f ca="1">IFERROR(__xludf.DUMMYFUNCTION("""COMPUTED_VALUE"""),"32 Ю-ЗАП")</f>
        <v>32 Ю-ЗАП</v>
      </c>
      <c r="AG374" t="str">
        <f ca="1">IFERROR(__xludf.DUMMYFUNCTION("""COMPUTED_VALUE"""),"33000 ЖМЕРИНКА")</f>
        <v>33000 ЖМЕРИНКА</v>
      </c>
      <c r="AH374" t="str">
        <f ca="1">IFERROR(__xludf.DUMMYFUNCTION("""COMPUTED_VALUE"""),"30.07.21 18-00")</f>
        <v>30.07.21 18-00</v>
      </c>
      <c r="AI374" s="21">
        <f ca="1">IFERROR(__xludf.DUMMYFUNCTION("""COMPUTED_VALUE"""),44420.3576851851)</f>
        <v>44420.357685185103</v>
      </c>
    </row>
    <row r="375" spans="1:35" ht="13" x14ac:dyDescent="0.15">
      <c r="A375">
        <f ca="1">IFERROR(__xludf.DUMMYFUNCTION("""COMPUTED_VALUE"""),1306)</f>
        <v>1306</v>
      </c>
      <c r="B375" t="str">
        <f ca="1">IFERROR(__xludf.DUMMYFUNCTION("""COMPUTED_VALUE"""),"Лидер")</f>
        <v>Лидер</v>
      </c>
      <c r="C375" t="str">
        <f ca="1">IFERROR(__xludf.DUMMYFUNCTION("""COMPUTED_VALUE"""),"ЕУ-Транс")</f>
        <v>ЕУ-Транс</v>
      </c>
      <c r="D375">
        <f ca="1">IFERROR(__xludf.DUMMYFUNCTION("""COMPUTED_VALUE"""),56695042)</f>
        <v>56695042</v>
      </c>
      <c r="E375" t="str">
        <f ca="1">IFERROR(__xludf.DUMMYFUNCTION("""COMPUTED_VALUE"""),"60 ПОЛУВАГОНЫ")</f>
        <v>60 ПОЛУВАГОНЫ</v>
      </c>
      <c r="F375">
        <f ca="1">IFERROR(__xludf.DUMMYFUNCTION("""COMPUTED_VALUE"""),23239)</f>
        <v>23239</v>
      </c>
      <c r="G375" t="str">
        <f ca="1">IFERROR(__xludf.DUMMYFUNCTION("""COMPUTED_VALUE"""),"ЩЕБЕНЬ ГРАНИТ")</f>
        <v>ЩЕБЕНЬ ГРАНИТ</v>
      </c>
      <c r="H375">
        <f ca="1">IFERROR(__xludf.DUMMYFUNCTION("""COMPUTED_VALUE"""),69)</f>
        <v>69</v>
      </c>
      <c r="I375">
        <f ca="1">IFERROR(__xludf.DUMMYFUNCTION("""COMPUTED_VALUE"""),6302)</f>
        <v>6302</v>
      </c>
      <c r="J375" t="str">
        <f ca="1">IFERROR(__xludf.DUMMYFUNCTION("""COMPUTED_VALUE"""),"9508 (34800-052-36000) НОВОГР-ВОЛ I - ТЕРНОПОЛЬ")</f>
        <v>9508 (34800-052-36000) НОВОГР-ВОЛ I - ТЕРНОПОЛЬ</v>
      </c>
      <c r="K375">
        <f ca="1">IFERROR(__xludf.DUMMYFUNCTION("""COMPUTED_VALUE"""),36260)</f>
        <v>36260</v>
      </c>
      <c r="L375" t="str">
        <f ca="1">IFERROR(__xludf.DUMMYFUNCTION("""COMPUTED_VALUE"""),"БЕРЕЗОВ-ОСТР")</f>
        <v>БЕРЕЗОВ-ОСТР</v>
      </c>
      <c r="M375" t="str">
        <f ca="1">IFERROR(__xludf.DUMMYFUNCTION("""COMPUTED_VALUE"""),"12.08.21 03-00")</f>
        <v>12.08.21 03-00</v>
      </c>
      <c r="N375" t="str">
        <f ca="1">IFERROR(__xludf.DUMMYFUNCTION("""COMPUTED_VALUE"""),"84 ДОСЛ")</f>
        <v>84 ДОСЛ</v>
      </c>
      <c r="O375">
        <f ca="1">IFERROR(__xludf.DUMMYFUNCTION("""COMPUTED_VALUE"""),36240)</f>
        <v>36240</v>
      </c>
      <c r="P375" t="str">
        <f ca="1">IFERROR(__xludf.DUMMYFUNCTION("""COMPUTED_VALUE"""),"КОЗОВА")</f>
        <v>КОЗОВА</v>
      </c>
      <c r="Q375">
        <f ca="1">IFERROR(__xludf.DUMMYFUNCTION("""COMPUTED_VALUE"""),34850)</f>
        <v>34850</v>
      </c>
      <c r="R375" t="str">
        <f ca="1">IFERROR(__xludf.DUMMYFUNCTION("""COMPUTED_VALUE"""),"УШИЦА")</f>
        <v>УШИЦА</v>
      </c>
      <c r="S375" t="str">
        <f ca="1">IFERROR(__xludf.DUMMYFUNCTION("""COMPUTED_VALUE"""),"08.08.21 18-55")</f>
        <v>08.08.21 18-55</v>
      </c>
      <c r="T375">
        <f ca="1">IFERROR(__xludf.DUMMYFUNCTION("""COMPUTED_VALUE"""),7052)</f>
        <v>7052</v>
      </c>
      <c r="U375" t="str">
        <f ca="1">IFERROR(__xludf.DUMMYFUNCTION("""COMPUTED_VALUE"""),"08.01.2023 ДР")</f>
        <v>08.01.2023 ДР</v>
      </c>
      <c r="Z375" t="str">
        <f ca="1">IFERROR(__xludf.DUMMYFUNCTION("""COMPUTED_VALUE"""),"ООО ""ЕУ-ТРАНС""")</f>
        <v>ООО "ЕУ-ТРАНС"</v>
      </c>
      <c r="AA375" t="str">
        <f ca="1">IFERROR(__xludf.DUMMYFUNCTION("""COMPUTED_VALUE"""),"12-753")</f>
        <v>12-753</v>
      </c>
      <c r="AB375" t="str">
        <f ca="1">IFERROR(__xludf.DUMMYFUNCTION("""COMPUTED_VALUE"""),"45 ПРИДН")</f>
        <v>45 ПРИДН</v>
      </c>
      <c r="AC375" t="str">
        <f ca="1">IFERROR(__xludf.DUMMYFUNCTION("""COMPUTED_VALUE"""),"46770 ИНГУЛЕЦ")</f>
        <v>46770 ИНГУЛЕЦ</v>
      </c>
      <c r="AD375" t="str">
        <f ca="1">IFERROR(__xludf.DUMMYFUNCTION("""COMPUTED_VALUE"""),"02.01.21 04-51")</f>
        <v>02.01.21 04-51</v>
      </c>
      <c r="AE375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75" t="str">
        <f ca="1">IFERROR(__xludf.DUMMYFUNCTION("""COMPUTED_VALUE"""),"45 ПРИДН")</f>
        <v>45 ПРИДН</v>
      </c>
      <c r="AG375" t="str">
        <f ca="1">IFERROR(__xludf.DUMMYFUNCTION("""COMPUTED_VALUE"""),"46770 ИНГУЛЕЦ")</f>
        <v>46770 ИНГУЛЕЦ</v>
      </c>
      <c r="AH375" t="str">
        <f ca="1">IFERROR(__xludf.DUMMYFUNCTION("""COMPUTED_VALUE"""),"05.01.21 19-30")</f>
        <v>05.01.21 19-30</v>
      </c>
      <c r="AI375" s="21">
        <f ca="1">IFERROR(__xludf.DUMMYFUNCTION("""COMPUTED_VALUE"""),44420.3576851851)</f>
        <v>44420.357685185103</v>
      </c>
    </row>
    <row r="376" spans="1:35" ht="13" x14ac:dyDescent="0.15">
      <c r="A376">
        <f ca="1">IFERROR(__xludf.DUMMYFUNCTION("""COMPUTED_VALUE"""),1308)</f>
        <v>1308</v>
      </c>
      <c r="B376" t="str">
        <f ca="1">IFERROR(__xludf.DUMMYFUNCTION("""COMPUTED_VALUE"""),"Техрейс")</f>
        <v>Техрейс</v>
      </c>
      <c r="C376" t="str">
        <f ca="1">IFERROR(__xludf.DUMMYFUNCTION("""COMPUTED_VALUE"""),"ЕУ-Транс")</f>
        <v>ЕУ-Транс</v>
      </c>
      <c r="D376">
        <f ca="1">IFERROR(__xludf.DUMMYFUNCTION("""COMPUTED_VALUE"""),56698087)</f>
        <v>56698087</v>
      </c>
      <c r="E376" t="str">
        <f ca="1">IFERROR(__xludf.DUMMYFUNCTION("""COMPUTED_VALUE"""),"60 ПОЛУВАГОНЫ")</f>
        <v>60 ПОЛУВАГОНЫ</v>
      </c>
      <c r="F376">
        <f ca="1">IFERROR(__xludf.DUMMYFUNCTION("""COMPUTED_VALUE"""),29101)</f>
        <v>29101</v>
      </c>
      <c r="G376" t="str">
        <f ca="1">IFERROR(__xludf.DUMMYFUNCTION("""COMPUTED_VALUE"""),"ДОЛОМИТ Д/СТЕК")</f>
        <v>ДОЛОМИТ Д/СТЕК</v>
      </c>
      <c r="H376">
        <f ca="1">IFERROR(__xludf.DUMMYFUNCTION("""COMPUTED_VALUE"""),69)</f>
        <v>69</v>
      </c>
      <c r="I376">
        <f ca="1">IFERROR(__xludf.DUMMYFUNCTION("""COMPUTED_VALUE"""),4261)</f>
        <v>4261</v>
      </c>
      <c r="J376" t="str">
        <f ca="1">IFERROR(__xludf.DUMMYFUNCTION("""COMPUTED_VALUE"""),"3506 (36290-107-36000) ТЕРЕБОВЛЯ - ТЕРНОПОЛЬ")</f>
        <v>3506 (36290-107-36000) ТЕРЕБОВЛЯ - ТЕРНОПОЛЬ</v>
      </c>
      <c r="K376">
        <f ca="1">IFERROR(__xludf.DUMMYFUNCTION("""COMPUTED_VALUE"""),36000)</f>
        <v>36000</v>
      </c>
      <c r="L376" t="str">
        <f ca="1">IFERROR(__xludf.DUMMYFUNCTION("""COMPUTED_VALUE"""),"ТЕРНОПОЛЬ")</f>
        <v>ТЕРНОПОЛЬ</v>
      </c>
      <c r="M376" t="str">
        <f ca="1">IFERROR(__xludf.DUMMYFUNCTION("""COMPUTED_VALUE"""),"11.08.21 17-36")</f>
        <v>11.08.21 17-36</v>
      </c>
      <c r="N376" t="str">
        <f ca="1">IFERROR(__xludf.DUMMYFUNCTION("""COMPUTED_VALUE"""),"85 ПРСТ")</f>
        <v>85 ПРСТ</v>
      </c>
      <c r="O376">
        <f ca="1">IFERROR(__xludf.DUMMYFUNCTION("""COMPUTED_VALUE"""),42420)</f>
        <v>42420</v>
      </c>
      <c r="P376" t="str">
        <f ca="1">IFERROR(__xludf.DUMMYFUNCTION("""COMPUTED_VALUE"""),"ЧЕРКАССЫ")</f>
        <v>ЧЕРКАССЫ</v>
      </c>
      <c r="Q376">
        <f ca="1">IFERROR(__xludf.DUMMYFUNCTION("""COMPUTED_VALUE"""),36440)</f>
        <v>36440</v>
      </c>
      <c r="R376" t="str">
        <f ca="1">IFERROR(__xludf.DUMMYFUNCTION("""COMPUTED_VALUE"""),"БУЧАЧ")</f>
        <v>БУЧАЧ</v>
      </c>
      <c r="S376" t="str">
        <f ca="1">IFERROR(__xludf.DUMMYFUNCTION("""COMPUTED_VALUE"""),"01.08.21 17-05")</f>
        <v>01.08.21 17-05</v>
      </c>
      <c r="T376">
        <f ca="1">IFERROR(__xludf.DUMMYFUNCTION("""COMPUTED_VALUE"""),1641)</f>
        <v>1641</v>
      </c>
      <c r="U376" t="str">
        <f ca="1">IFERROR(__xludf.DUMMYFUNCTION("""COMPUTED_VALUE"""),"06.06.2022 ДР")</f>
        <v>06.06.2022 ДР</v>
      </c>
      <c r="Z376" t="str">
        <f ca="1">IFERROR(__xludf.DUMMYFUNCTION("""COMPUTED_VALUE"""),"ООО «ЕУ-Транс»")</f>
        <v>ООО «ЕУ-Транс»</v>
      </c>
      <c r="AA376" t="str">
        <f ca="1">IFERROR(__xludf.DUMMYFUNCTION("""COMPUTED_VALUE"""),"12-753")</f>
        <v>12-753</v>
      </c>
      <c r="AB376" t="str">
        <f ca="1">IFERROR(__xludf.DUMMYFUNCTION("""COMPUTED_VALUE"""),"32 Ю-ЗАП")</f>
        <v>32 Ю-ЗАП</v>
      </c>
      <c r="AC376" t="str">
        <f ca="1">IFERROR(__xludf.DUMMYFUNCTION("""COMPUTED_VALUE"""),"34720 ТОЛКАЧЕВСКИЙ")</f>
        <v>34720 ТОЛКАЧЕВСКИЙ</v>
      </c>
      <c r="AD376" t="str">
        <f ca="1">IFERROR(__xludf.DUMMYFUNCTION("""COMPUTED_VALUE"""),"21.06.21 08-00")</f>
        <v>21.06.21 08-00</v>
      </c>
      <c r="AE376" t="str">
        <f ca="1">IFERROR(__xludf.DUMMYFUNCTION("""COMPUTED_VALUE"""),"540 НEИCПPAВНOCТЬ ЗAПOPA ЛЮКA")</f>
        <v>540 НEИCПPAВНOCТЬ ЗAПOPA ЛЮКA</v>
      </c>
      <c r="AF376" t="str">
        <f ca="1">IFERROR(__xludf.DUMMYFUNCTION("""COMPUTED_VALUE"""),"32 Ю-ЗАП")</f>
        <v>32 Ю-ЗАП</v>
      </c>
      <c r="AG376" t="str">
        <f ca="1">IFERROR(__xludf.DUMMYFUNCTION("""COMPUTED_VALUE"""),"34720 ТОЛКАЧЕВСКИЙ")</f>
        <v>34720 ТОЛКАЧЕВСКИЙ</v>
      </c>
      <c r="AH376" t="str">
        <f ca="1">IFERROR(__xludf.DUMMYFUNCTION("""COMPUTED_VALUE"""),"01.07.21 16-00")</f>
        <v>01.07.21 16-00</v>
      </c>
      <c r="AI376" s="21">
        <f ca="1">IFERROR(__xludf.DUMMYFUNCTION("""COMPUTED_VALUE"""),44420.3576851851)</f>
        <v>44420.357685185103</v>
      </c>
    </row>
    <row r="377" spans="1:35" ht="13" x14ac:dyDescent="0.15">
      <c r="A377">
        <f ca="1">IFERROR(__xludf.DUMMYFUNCTION("""COMPUTED_VALUE"""),1309)</f>
        <v>1309</v>
      </c>
      <c r="B377" t="str">
        <f ca="1">IFERROR(__xludf.DUMMYFUNCTION("""COMPUTED_VALUE"""),"Техрейс")</f>
        <v>Техрейс</v>
      </c>
      <c r="C377" t="str">
        <f ca="1">IFERROR(__xludf.DUMMYFUNCTION("""COMPUTED_VALUE"""),"ЕУ-Транс")</f>
        <v>ЕУ-Транс</v>
      </c>
      <c r="D377">
        <f ca="1">IFERROR(__xludf.DUMMYFUNCTION("""COMPUTED_VALUE"""),56626880)</f>
        <v>56626880</v>
      </c>
      <c r="E377" t="str">
        <f ca="1">IFERROR(__xludf.DUMMYFUNCTION("""COMPUTED_VALUE"""),"60 ПОЛУВАГОНЫ")</f>
        <v>60 ПОЛУВАГОНЫ</v>
      </c>
      <c r="F377">
        <f ca="1">IFERROR(__xludf.DUMMYFUNCTION("""COMPUTED_VALUE"""),48326)</f>
        <v>48326</v>
      </c>
      <c r="G377" t="str">
        <f ca="1">IFERROR(__xludf.DUMMYFUNCTION("""COMPUTED_VALUE"""),"ЖЕЛЕЗА СУЛЬФАТ")</f>
        <v>ЖЕЛЕЗА СУЛЬФАТ</v>
      </c>
      <c r="H377">
        <f ca="1">IFERROR(__xludf.DUMMYFUNCTION("""COMPUTED_VALUE"""),51)</f>
        <v>51</v>
      </c>
      <c r="I377">
        <f ca="1">IFERROR(__xludf.DUMMYFUNCTION("""COMPUTED_VALUE"""),4306)</f>
        <v>4306</v>
      </c>
      <c r="J377" t="str">
        <f ca="1">IFERROR(__xludf.DUMMYFUNCTION("""COMPUTED_VALUE"""),"5555 (44870-203-00010) ПОЛТАВА-ЮЖН -")</f>
        <v>5555 (44870-203-00010) ПОЛТАВА-ЮЖН -</v>
      </c>
      <c r="K377">
        <f ca="1">IFERROR(__xludf.DUMMYFUNCTION("""COMPUTED_VALUE"""),44870)</f>
        <v>44870</v>
      </c>
      <c r="L377" t="str">
        <f ca="1">IFERROR(__xludf.DUMMYFUNCTION("""COMPUTED_VALUE"""),"ПОЛТАВА-ЮЖН")</f>
        <v>ПОЛТАВА-ЮЖН</v>
      </c>
      <c r="M377" t="str">
        <f ca="1">IFERROR(__xludf.DUMMYFUNCTION("""COMPUTED_VALUE"""),"12.08.21 04-25")</f>
        <v>12.08.21 04-25</v>
      </c>
      <c r="N377" t="str">
        <f ca="1">IFERROR(__xludf.DUMMYFUNCTION("""COMPUTED_VALUE"""),"04 РАСФ")</f>
        <v>04 РАСФ</v>
      </c>
      <c r="O377">
        <f ca="1">IFERROR(__xludf.DUMMYFUNCTION("""COMPUTED_VALUE"""),40510)</f>
        <v>40510</v>
      </c>
      <c r="P377" t="str">
        <f ca="1">IFERROR(__xludf.DUMMYFUNCTION("""COMPUTED_VALUE"""),"ОДЕССА-ЗАС I")</f>
        <v>ОДЕССА-ЗАС I</v>
      </c>
      <c r="Q377">
        <f ca="1">IFERROR(__xludf.DUMMYFUNCTION("""COMPUTED_VALUE"""),44560)</f>
        <v>44560</v>
      </c>
      <c r="R377" t="str">
        <f ca="1">IFERROR(__xludf.DUMMYFUNCTION("""COMPUTED_VALUE"""),"БАСЫ")</f>
        <v>БАСЫ</v>
      </c>
      <c r="S377" t="str">
        <f ca="1">IFERROR(__xludf.DUMMYFUNCTION("""COMPUTED_VALUE"""),"10.08.21 12-30")</f>
        <v>10.08.21 12-30</v>
      </c>
      <c r="T377">
        <f ca="1">IFERROR(__xludf.DUMMYFUNCTION("""COMPUTED_VALUE"""),1673)</f>
        <v>1673</v>
      </c>
      <c r="U377" t="str">
        <f ca="1">IFERROR(__xludf.DUMMYFUNCTION("""COMPUTED_VALUE"""),"23.03.2024 ТР-1")</f>
        <v>23.03.2024 ТР-1</v>
      </c>
      <c r="Z377" t="str">
        <f ca="1">IFERROR(__xludf.DUMMYFUNCTION("""COMPUTED_VALUE"""),"ООО ""ЕУ-ТРАНС""")</f>
        <v>ООО "ЕУ-ТРАНС"</v>
      </c>
      <c r="AA377" t="str">
        <f ca="1">IFERROR(__xludf.DUMMYFUNCTION("""COMPUTED_VALUE"""),"12-141")</f>
        <v>12-141</v>
      </c>
      <c r="AB377" t="str">
        <f ca="1">IFERROR(__xludf.DUMMYFUNCTION("""COMPUTED_VALUE"""),"40 ОД")</f>
        <v>40 ОД</v>
      </c>
      <c r="AC377" t="str">
        <f ca="1">IFERROR(__xludf.DUMMYFUNCTION("""COMPUTED_VALUE"""),"41190 ПОМОШНАЯ")</f>
        <v>41190 ПОМОШНАЯ</v>
      </c>
      <c r="AD377" t="str">
        <f ca="1">IFERROR(__xludf.DUMMYFUNCTION("""COMPUTED_VALUE"""),"26.04.21 11-00")</f>
        <v>26.04.21 11-00</v>
      </c>
      <c r="AE377" t="str">
        <f ca="1">IFERROR(__xludf.DUMMYFUNCTION("""COMPUTED_VALUE"""),"570 ИCТEК КAЛЕНДАРНЫЙ CPOК ДEПOВCКОГО PEМOНТA")</f>
        <v>570 ИCТEК КAЛЕНДАРНЫЙ CPOК ДEПOВCКОГО PEМOНТA</v>
      </c>
      <c r="AF377" t="str">
        <f ca="1">IFERROR(__xludf.DUMMYFUNCTION("""COMPUTED_VALUE"""),"40 ОД")</f>
        <v>40 ОД</v>
      </c>
      <c r="AG377" t="str">
        <f ca="1">IFERROR(__xludf.DUMMYFUNCTION("""COMPUTED_VALUE"""),"41190 ПОМОШНАЯ")</f>
        <v>41190 ПОМОШНАЯ</v>
      </c>
      <c r="AH377" t="str">
        <f ca="1">IFERROR(__xludf.DUMMYFUNCTION("""COMPUTED_VALUE"""),"29.04.21 13-30")</f>
        <v>29.04.21 13-30</v>
      </c>
      <c r="AI377" s="21">
        <f ca="1">IFERROR(__xludf.DUMMYFUNCTION("""COMPUTED_VALUE"""),44420.3576851851)</f>
        <v>44420.357685185103</v>
      </c>
    </row>
    <row r="378" spans="1:35" ht="13" x14ac:dyDescent="0.15">
      <c r="A378">
        <f ca="1">IFERROR(__xludf.DUMMYFUNCTION("""COMPUTED_VALUE"""),1310)</f>
        <v>1310</v>
      </c>
      <c r="B378" t="str">
        <f ca="1">IFERROR(__xludf.DUMMYFUNCTION("""COMPUTED_VALUE"""),"Техрейс")</f>
        <v>Техрейс</v>
      </c>
      <c r="C378" t="str">
        <f ca="1">IFERROR(__xludf.DUMMYFUNCTION("""COMPUTED_VALUE"""),"Трейн Інвестмент")</f>
        <v>Трейн Інвестмент</v>
      </c>
      <c r="D378">
        <f ca="1">IFERROR(__xludf.DUMMYFUNCTION("""COMPUTED_VALUE"""),56351703)</f>
        <v>56351703</v>
      </c>
      <c r="E378" t="str">
        <f ca="1">IFERROR(__xludf.DUMMYFUNCTION("""COMPUTED_VALUE"""),"60 ПОЛУВАГОНЫ")</f>
        <v>60 ПОЛУВАГОНЫ</v>
      </c>
      <c r="F378">
        <f ca="1">IFERROR(__xludf.DUMMYFUNCTION("""COMPUTED_VALUE"""),42103)</f>
        <v>42103</v>
      </c>
      <c r="G378" t="str">
        <f ca="1">IFERROR(__xludf.DUMMYFUNCTION("""COMPUTED_VALUE"""),"ВАГОНЫ ЖД СВ")</f>
        <v>ВАГОНЫ ЖД СВ</v>
      </c>
      <c r="H378">
        <f ca="1">IFERROR(__xludf.DUMMYFUNCTION("""COMPUTED_VALUE"""),0)</f>
        <v>0</v>
      </c>
      <c r="I378">
        <f ca="1">IFERROR(__xludf.DUMMYFUNCTION("""COMPUTED_VALUE"""),5343)</f>
        <v>5343</v>
      </c>
      <c r="J378" t="str">
        <f ca="1">IFERROR(__xludf.DUMMYFUNCTION("""COMPUTED_VALUE"""),"2626 (40050-066-46720) БЕРЕГОВАЯ - КРИВОЙ РОГ")</f>
        <v>2626 (40050-066-46720) БЕРЕГОВАЯ - КРИВОЙ РОГ</v>
      </c>
      <c r="K378">
        <f ca="1">IFERROR(__xludf.DUMMYFUNCTION("""COMPUTED_VALUE"""),46720)</f>
        <v>46720</v>
      </c>
      <c r="L378" t="str">
        <f ca="1">IFERROR(__xludf.DUMMYFUNCTION("""COMPUTED_VALUE"""),"КРИВОЙ РОГ")</f>
        <v>КРИВОЙ РОГ</v>
      </c>
      <c r="M378" t="str">
        <f ca="1">IFERROR(__xludf.DUMMYFUNCTION("""COMPUTED_VALUE"""),"12.08.21 04-10")</f>
        <v>12.08.21 04-10</v>
      </c>
      <c r="N378" t="str">
        <f ca="1">IFERROR(__xludf.DUMMYFUNCTION("""COMPUTED_VALUE"""),"98 ОТОТ")</f>
        <v>98 ОТОТ</v>
      </c>
      <c r="O378">
        <f ca="1">IFERROR(__xludf.DUMMYFUNCTION("""COMPUTED_VALUE"""),46720)</f>
        <v>46720</v>
      </c>
      <c r="P378" t="str">
        <f ca="1">IFERROR(__xludf.DUMMYFUNCTION("""COMPUTED_VALUE"""),"КРИВОЙ РОГ")</f>
        <v>КРИВОЙ РОГ</v>
      </c>
      <c r="Q378">
        <f ca="1">IFERROR(__xludf.DUMMYFUNCTION("""COMPUTED_VALUE"""),40050)</f>
        <v>40050</v>
      </c>
      <c r="R378" t="str">
        <f ca="1">IFERROR(__xludf.DUMMYFUNCTION("""COMPUTED_VALUE"""),"БЕРЕГОВАЯ")</f>
        <v>БЕРЕГОВАЯ</v>
      </c>
      <c r="S378" t="str">
        <f ca="1">IFERROR(__xludf.DUMMYFUNCTION("""COMPUTED_VALUE"""),"11.08.21 02-20")</f>
        <v>11.08.21 02-20</v>
      </c>
      <c r="T378">
        <f ca="1">IFERROR(__xludf.DUMMYFUNCTION("""COMPUTED_VALUE"""),8200)</f>
        <v>8200</v>
      </c>
      <c r="U378" t="str">
        <f ca="1">IFERROR(__xludf.DUMMYFUNCTION("""COMPUTED_VALUE"""),"21.07.2023 ДР")</f>
        <v>21.07.2023 ДР</v>
      </c>
      <c r="Z378" t="str">
        <f ca="1">IFERROR(__xludf.DUMMYFUNCTION("""COMPUTED_VALUE"""),"ООО «ТРЕЙН ИНВЕСТМЕНТ»")</f>
        <v>ООО «ТРЕЙН ИНВЕСТМЕНТ»</v>
      </c>
      <c r="AA378" t="str">
        <f ca="1">IFERROR(__xludf.DUMMYFUNCTION("""COMPUTED_VALUE"""),"12-132")</f>
        <v>12-132</v>
      </c>
      <c r="AB378" t="str">
        <f ca="1">IFERROR(__xludf.DUMMYFUNCTION("""COMPUTED_VALUE"""),"35 ЛЬВ")</f>
        <v>35 ЛЬВ</v>
      </c>
      <c r="AC378" t="str">
        <f ca="1">IFERROR(__xludf.DUMMYFUNCTION("""COMPUTED_VALUE"""),"37760 ДНЕСТРЯНСКАЯ")</f>
        <v>37760 ДНЕСТРЯНСКАЯ</v>
      </c>
      <c r="AD378" t="str">
        <f ca="1">IFERROR(__xludf.DUMMYFUNCTION("""COMPUTED_VALUE"""),"15.07.20 08-35")</f>
        <v>15.07.20 08-35</v>
      </c>
      <c r="AE378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78" t="str">
        <f ca="1">IFERROR(__xludf.DUMMYFUNCTION("""COMPUTED_VALUE"""),"35 ЛЬВ")</f>
        <v>35 ЛЬВ</v>
      </c>
      <c r="AG378" t="str">
        <f ca="1">IFERROR(__xludf.DUMMYFUNCTION("""COMPUTED_VALUE"""),"37760 ДНЕСТРЯНСКАЯ")</f>
        <v>37760 ДНЕСТРЯНСКАЯ</v>
      </c>
      <c r="AH378" t="str">
        <f ca="1">IFERROR(__xludf.DUMMYFUNCTION("""COMPUTED_VALUE"""),"21.07.20 15-04")</f>
        <v>21.07.20 15-04</v>
      </c>
      <c r="AI378" s="21">
        <f ca="1">IFERROR(__xludf.DUMMYFUNCTION("""COMPUTED_VALUE"""),44420.3576851851)</f>
        <v>44420.357685185103</v>
      </c>
    </row>
    <row r="379" spans="1:35" ht="13" x14ac:dyDescent="0.15">
      <c r="A379">
        <f ca="1">IFERROR(__xludf.DUMMYFUNCTION("""COMPUTED_VALUE"""),1311)</f>
        <v>1311</v>
      </c>
      <c r="B379" t="str">
        <f ca="1">IFERROR(__xludf.DUMMYFUNCTION("""COMPUTED_VALUE"""),"Техрейс")</f>
        <v>Техрейс</v>
      </c>
      <c r="C379" t="str">
        <f ca="1">IFERROR(__xludf.DUMMYFUNCTION("""COMPUTED_VALUE"""),"Трейн Інвестмент")</f>
        <v>Трейн Інвестмент</v>
      </c>
      <c r="D379">
        <f ca="1">IFERROR(__xludf.DUMMYFUNCTION("""COMPUTED_VALUE"""),56567589)</f>
        <v>56567589</v>
      </c>
      <c r="E379" t="str">
        <f ca="1">IFERROR(__xludf.DUMMYFUNCTION("""COMPUTED_VALUE"""),"60 ПОЛУВАГОНЫ")</f>
        <v>60 ПОЛУВАГОНЫ</v>
      </c>
      <c r="F379">
        <f ca="1">IFERROR(__xludf.DUMMYFUNCTION("""COMPUTED_VALUE"""),42119)</f>
        <v>42119</v>
      </c>
      <c r="G379" t="str">
        <f ca="1">IFERROR(__xludf.DUMMYFUNCTION("""COMPUTED_VALUE"""),"ВАГОНЫ ЖД РЕМОН")</f>
        <v>ВАГОНЫ ЖД РЕМОН</v>
      </c>
      <c r="H379">
        <f ca="1">IFERROR(__xludf.DUMMYFUNCTION("""COMPUTED_VALUE"""),0)</f>
        <v>0</v>
      </c>
      <c r="I379">
        <f ca="1">IFERROR(__xludf.DUMMYFUNCTION("""COMPUTED_VALUE"""),1426)</f>
        <v>1426</v>
      </c>
      <c r="J379" t="str">
        <f ca="1">IFERROR(__xludf.DUMMYFUNCTION("""COMPUTED_VALUE"""),"5555 (33000-596-00020) ЖМЕРИНКА -")</f>
        <v>5555 (33000-596-00020) ЖМЕРИНКА -</v>
      </c>
      <c r="K379">
        <f ca="1">IFERROR(__xludf.DUMMYFUNCTION("""COMPUTED_VALUE"""),33000)</f>
        <v>33000</v>
      </c>
      <c r="L379" t="str">
        <f ca="1">IFERROR(__xludf.DUMMYFUNCTION("""COMPUTED_VALUE"""),"ЖМЕРИНКА")</f>
        <v>ЖМЕРИНКА</v>
      </c>
      <c r="M379" t="str">
        <f ca="1">IFERROR(__xludf.DUMMYFUNCTION("""COMPUTED_VALUE"""),"27.07.21 18-36")</f>
        <v>27.07.21 18-36</v>
      </c>
      <c r="N379" t="str">
        <f ca="1">IFERROR(__xludf.DUMMYFUNCTION("""COMPUTED_VALUE"""),"53 ВУ23")</f>
        <v>53 ВУ23</v>
      </c>
      <c r="O379">
        <f ca="1">IFERROR(__xludf.DUMMYFUNCTION("""COMPUTED_VALUE"""),33000)</f>
        <v>33000</v>
      </c>
      <c r="P379" t="str">
        <f ca="1">IFERROR(__xludf.DUMMYFUNCTION("""COMPUTED_VALUE"""),"ЖМЕРИНКА")</f>
        <v>ЖМЕРИНКА</v>
      </c>
      <c r="Q379">
        <f ca="1">IFERROR(__xludf.DUMMYFUNCTION("""COMPUTED_VALUE"""),33700)</f>
        <v>33700</v>
      </c>
      <c r="R379" t="str">
        <f ca="1">IFERROR(__xludf.DUMMYFUNCTION("""COMPUTED_VALUE"""),"ГУЛЕВЦЫ")</f>
        <v>ГУЛЕВЦЫ</v>
      </c>
      <c r="S379" t="str">
        <f ca="1">IFERROR(__xludf.DUMMYFUNCTION("""COMPUTED_VALUE"""),"21.07.21 00-05")</f>
        <v>21.07.21 00-05</v>
      </c>
      <c r="T379">
        <f ca="1">IFERROR(__xludf.DUMMYFUNCTION("""COMPUTED_VALUE"""),8200)</f>
        <v>8200</v>
      </c>
      <c r="U379" t="str">
        <f ca="1">IFERROR(__xludf.DUMMYFUNCTION("""COMPUTED_VALUE"""),"18.02.2022 ДР")</f>
        <v>18.02.2022 ДР</v>
      </c>
      <c r="Z379" t="str">
        <f ca="1">IFERROR(__xludf.DUMMYFUNCTION("""COMPUTED_VALUE"""),"ООО «ТРЕЙН ИНВЕСТМЕНТ»")</f>
        <v>ООО «ТРЕЙН ИНВЕСТМЕНТ»</v>
      </c>
      <c r="AA379" t="str">
        <f ca="1">IFERROR(__xludf.DUMMYFUNCTION("""COMPUTED_VALUE"""),"12-532")</f>
        <v>12-532</v>
      </c>
      <c r="AB379" t="str">
        <f ca="1">IFERROR(__xludf.DUMMYFUNCTION("""COMPUTED_VALUE"""),"32 Ю-ЗАП")</f>
        <v>32 Ю-ЗАП</v>
      </c>
      <c r="AC379" t="str">
        <f ca="1">IFERROR(__xludf.DUMMYFUNCTION("""COMPUTED_VALUE"""),"33000 ЖМЕРИНКА")</f>
        <v>33000 ЖМЕРИНКА</v>
      </c>
      <c r="AD379" t="str">
        <f ca="1">IFERROR(__xludf.DUMMYFUNCTION("""COMPUTED_VALUE"""),"27.07.21 18-36")</f>
        <v>27.07.21 18-36</v>
      </c>
      <c r="AE379" t="str">
        <f ca="1">IFERROR(__xludf.DUMMYFUNCTION("""COMPUTED_VALUE"""),"540 НEИCПPAВНOCТЬ ЗAПOPA ЛЮКA")</f>
        <v>540 НEИCПPAВНOCТЬ ЗAПOPA ЛЮКA</v>
      </c>
      <c r="AF379" t="str">
        <f ca="1">IFERROR(__xludf.DUMMYFUNCTION("""COMPUTED_VALUE"""),"48 ДОН")</f>
        <v>48 ДОН</v>
      </c>
      <c r="AG379" t="str">
        <f ca="1">IFERROR(__xludf.DUMMYFUNCTION("""COMPUTED_VALUE"""),"49480 СОЛЬ")</f>
        <v>49480 СОЛЬ</v>
      </c>
      <c r="AH379" t="str">
        <f ca="1">IFERROR(__xludf.DUMMYFUNCTION("""COMPUTED_VALUE"""),"16.06.21 12-00")</f>
        <v>16.06.21 12-00</v>
      </c>
      <c r="AI379" s="21">
        <f ca="1">IFERROR(__xludf.DUMMYFUNCTION("""COMPUTED_VALUE"""),44420.3576851851)</f>
        <v>44420.357685185103</v>
      </c>
    </row>
    <row r="380" spans="1:35" ht="13" x14ac:dyDescent="0.15">
      <c r="A380">
        <f ca="1">IFERROR(__xludf.DUMMYFUNCTION("""COMPUTED_VALUE"""),1312)</f>
        <v>1312</v>
      </c>
      <c r="B380" t="str">
        <f ca="1">IFERROR(__xludf.DUMMYFUNCTION("""COMPUTED_VALUE"""),"Лидер")</f>
        <v>Лидер</v>
      </c>
      <c r="C380" t="str">
        <f ca="1">IFERROR(__xludf.DUMMYFUNCTION("""COMPUTED_VALUE"""),"ЕУ-Транс")</f>
        <v>ЕУ-Транс</v>
      </c>
      <c r="D380">
        <f ca="1">IFERROR(__xludf.DUMMYFUNCTION("""COMPUTED_VALUE"""),56610124)</f>
        <v>56610124</v>
      </c>
      <c r="E380" t="str">
        <f ca="1">IFERROR(__xludf.DUMMYFUNCTION("""COMPUTED_VALUE"""),"60 ПОЛУВАГОНЫ")</f>
        <v>60 ПОЛУВАГОНЫ</v>
      </c>
      <c r="F380">
        <f ca="1">IFERROR(__xludf.DUMMYFUNCTION("""COMPUTED_VALUE"""),42103)</f>
        <v>42103</v>
      </c>
      <c r="G380" t="str">
        <f ca="1">IFERROR(__xludf.DUMMYFUNCTION("""COMPUTED_VALUE"""),"ВАГОНЫ ЖД СВ")</f>
        <v>ВАГОНЫ ЖД СВ</v>
      </c>
      <c r="H380">
        <f ca="1">IFERROR(__xludf.DUMMYFUNCTION("""COMPUTED_VALUE"""),0)</f>
        <v>0</v>
      </c>
      <c r="I380">
        <f ca="1">IFERROR(__xludf.DUMMYFUNCTION("""COMPUTED_VALUE"""),3437)</f>
        <v>3437</v>
      </c>
      <c r="J380" t="str">
        <f ca="1">IFERROR(__xludf.DUMMYFUNCTION("""COMPUTED_VALUE"""),"2434 (43000-226-32000) КУПЯНСК-СОРТ - ДАРНИЦА")</f>
        <v>2434 (43000-226-32000) КУПЯНСК-СОРТ - ДАРНИЦА</v>
      </c>
      <c r="K380">
        <f ca="1">IFERROR(__xludf.DUMMYFUNCTION("""COMPUTED_VALUE"""),44020)</f>
        <v>44020</v>
      </c>
      <c r="L380" t="str">
        <f ca="1">IFERROR(__xludf.DUMMYFUNCTION("""COMPUTED_VALUE"""),"ОСНОВА")</f>
        <v>ОСНОВА</v>
      </c>
      <c r="M380" t="str">
        <f ca="1">IFERROR(__xludf.DUMMYFUNCTION("""COMPUTED_VALUE"""),"12.08.21 07-25")</f>
        <v>12.08.21 07-25</v>
      </c>
      <c r="N380" t="str">
        <f ca="1">IFERROR(__xludf.DUMMYFUNCTION("""COMPUTED_VALUE"""),"51 ПРИБ")</f>
        <v>51 ПРИБ</v>
      </c>
      <c r="O380">
        <f ca="1">IFERROR(__xludf.DUMMYFUNCTION("""COMPUTED_VALUE"""),34750)</f>
        <v>34750</v>
      </c>
      <c r="P380" t="str">
        <f ca="1">IFERROR(__xludf.DUMMYFUNCTION("""COMPUTED_VALUE"""),"ПЕНИЗЕВИЧИ")</f>
        <v>ПЕНИЗЕВИЧИ</v>
      </c>
      <c r="Q380">
        <f ca="1">IFERROR(__xludf.DUMMYFUNCTION("""COMPUTED_VALUE"""),49870)</f>
        <v>49870</v>
      </c>
      <c r="R380" t="str">
        <f ca="1">IFERROR(__xludf.DUMMYFUNCTION("""COMPUTED_VALUE"""),"РУБЕЖНОЕ")</f>
        <v>РУБЕЖНОЕ</v>
      </c>
      <c r="S380" t="str">
        <f ca="1">IFERROR(__xludf.DUMMYFUNCTION("""COMPUTED_VALUE"""),"09.08.21 22-15")</f>
        <v>09.08.21 22-15</v>
      </c>
      <c r="T380">
        <f ca="1">IFERROR(__xludf.DUMMYFUNCTION("""COMPUTED_VALUE"""),2992)</f>
        <v>2992</v>
      </c>
      <c r="U380" t="str">
        <f ca="1">IFERROR(__xludf.DUMMYFUNCTION("""COMPUTED_VALUE"""),"24.04.2023 ДР")</f>
        <v>24.04.2023 ДР</v>
      </c>
      <c r="Z380" t="str">
        <f ca="1">IFERROR(__xludf.DUMMYFUNCTION("""COMPUTED_VALUE"""),"ООО ""ЕУ-ТРАНС""")</f>
        <v>ООО "ЕУ-ТРАНС"</v>
      </c>
      <c r="AA380" t="str">
        <f ca="1">IFERROR(__xludf.DUMMYFUNCTION("""COMPUTED_VALUE"""),"12-753")</f>
        <v>12-753</v>
      </c>
      <c r="AB380" t="str">
        <f ca="1">IFERROR(__xludf.DUMMYFUNCTION("""COMPUTED_VALUE"""),"45 ПРИДН")</f>
        <v>45 ПРИДН</v>
      </c>
      <c r="AC380" t="str">
        <f ca="1">IFERROR(__xludf.DUMMYFUNCTION("""COMPUTED_VALUE"""),"45740 ГРЕКОВАТАЯ")</f>
        <v>45740 ГРЕКОВАТАЯ</v>
      </c>
      <c r="AD380" t="str">
        <f ca="1">IFERROR(__xludf.DUMMYFUNCTION("""COMPUTED_VALUE"""),"20.01.21 14-10")</f>
        <v>20.01.21 14-10</v>
      </c>
      <c r="AE380" t="str">
        <f ca="1">IFERROR(__xludf.DUMMYFUNCTION("""COMPUTED_VALUE"""),"540 НEИCПPAВНOCТЬ ЗAПOPA ЛЮКA")</f>
        <v>540 НEИCПPAВНOCТЬ ЗAПOPA ЛЮКA</v>
      </c>
      <c r="AF380" t="str">
        <f ca="1">IFERROR(__xludf.DUMMYFUNCTION("""COMPUTED_VALUE"""),"45 ПРИДН")</f>
        <v>45 ПРИДН</v>
      </c>
      <c r="AG380" t="str">
        <f ca="1">IFERROR(__xludf.DUMMYFUNCTION("""COMPUTED_VALUE"""),"45740 ГРЕКОВАТАЯ")</f>
        <v>45740 ГРЕКОВАТАЯ</v>
      </c>
      <c r="AH380" t="str">
        <f ca="1">IFERROR(__xludf.DUMMYFUNCTION("""COMPUTED_VALUE"""),"20.01.21 16-45")</f>
        <v>20.01.21 16-45</v>
      </c>
      <c r="AI380" s="21">
        <f ca="1">IFERROR(__xludf.DUMMYFUNCTION("""COMPUTED_VALUE"""),44420.3576851851)</f>
        <v>44420.357685185103</v>
      </c>
    </row>
    <row r="381" spans="1:35" ht="13" x14ac:dyDescent="0.15">
      <c r="A381">
        <f ca="1">IFERROR(__xludf.DUMMYFUNCTION("""COMPUTED_VALUE"""),1313)</f>
        <v>1313</v>
      </c>
      <c r="B381" t="str">
        <f ca="1">IFERROR(__xludf.DUMMYFUNCTION("""COMPUTED_VALUE"""),"Ламан-Шипинг скраренда")</f>
        <v>Ламан-Шипинг скраренда</v>
      </c>
      <c r="C381" t="str">
        <f ca="1">IFERROR(__xludf.DUMMYFUNCTION("""COMPUTED_VALUE"""),"Трейн Інвестмент")</f>
        <v>Трейн Інвестмент</v>
      </c>
      <c r="D381">
        <f ca="1">IFERROR(__xludf.DUMMYFUNCTION("""COMPUTED_VALUE"""),55066690)</f>
        <v>55066690</v>
      </c>
      <c r="E381" t="str">
        <f ca="1">IFERROR(__xludf.DUMMYFUNCTION("""COMPUTED_VALUE"""),"60 ПОЛУВАГОНЫ")</f>
        <v>60 ПОЛУВАГОНЫ</v>
      </c>
      <c r="F381">
        <f ca="1">IFERROR(__xludf.DUMMYFUNCTION("""COMPUTED_VALUE"""),42119)</f>
        <v>42119</v>
      </c>
      <c r="G381" t="str">
        <f ca="1">IFERROR(__xludf.DUMMYFUNCTION("""COMPUTED_VALUE"""),"ВАГОНЫ ЖД РЕМОН")</f>
        <v>ВАГОНЫ ЖД РЕМОН</v>
      </c>
      <c r="H381">
        <f ca="1">IFERROR(__xludf.DUMMYFUNCTION("""COMPUTED_VALUE"""),0)</f>
        <v>0</v>
      </c>
      <c r="I381">
        <f ca="1">IFERROR(__xludf.DUMMYFUNCTION("""COMPUTED_VALUE"""),9799)</f>
        <v>9799</v>
      </c>
      <c r="J381" t="str">
        <f ca="1">IFERROR(__xludf.DUMMYFUNCTION("""COMPUTED_VALUE"""),"3501 (34160-015-34170) ПОНИНКА - ПОЛОННОЕ")</f>
        <v>3501 (34160-015-34170) ПОНИНКА - ПОЛОННОЕ</v>
      </c>
      <c r="K381">
        <f ca="1">IFERROR(__xludf.DUMMYFUNCTION("""COMPUTED_VALUE"""),34170)</f>
        <v>34170</v>
      </c>
      <c r="L381" t="str">
        <f ca="1">IFERROR(__xludf.DUMMYFUNCTION("""COMPUTED_VALUE"""),"ПОЛОННОЕ")</f>
        <v>ПОЛОННОЕ</v>
      </c>
      <c r="M381" t="str">
        <f ca="1">IFERROR(__xludf.DUMMYFUNCTION("""COMPUTED_VALUE"""),"06.08.21 20-10")</f>
        <v>06.08.21 20-10</v>
      </c>
      <c r="N381" t="str">
        <f ca="1">IFERROR(__xludf.DUMMYFUNCTION("""COMPUTED_VALUE"""),"98 ОТОТ")</f>
        <v>98 ОТОТ</v>
      </c>
      <c r="O381">
        <f ca="1">IFERROR(__xludf.DUMMYFUNCTION("""COMPUTED_VALUE"""),34170)</f>
        <v>34170</v>
      </c>
      <c r="P381" t="str">
        <f ca="1">IFERROR(__xludf.DUMMYFUNCTION("""COMPUTED_VALUE"""),"ПОЛОННОЕ")</f>
        <v>ПОЛОННОЕ</v>
      </c>
      <c r="Q381">
        <f ca="1">IFERROR(__xludf.DUMMYFUNCTION("""COMPUTED_VALUE"""),34170)</f>
        <v>34170</v>
      </c>
      <c r="R381" t="str">
        <f ca="1">IFERROR(__xludf.DUMMYFUNCTION("""COMPUTED_VALUE"""),"ПОЛОННОЕ")</f>
        <v>ПОЛОННОЕ</v>
      </c>
      <c r="S381" t="str">
        <f ca="1">IFERROR(__xludf.DUMMYFUNCTION("""COMPUTED_VALUE"""),"05.08.21 17-30")</f>
        <v>05.08.21 17-30</v>
      </c>
      <c r="T381">
        <f ca="1">IFERROR(__xludf.DUMMYFUNCTION("""COMPUTED_VALUE"""),8200)</f>
        <v>8200</v>
      </c>
      <c r="U381" t="str">
        <f ca="1">IFERROR(__xludf.DUMMYFUNCTION("""COMPUTED_VALUE"""),"27.02.2023 ДР")</f>
        <v>27.02.2023 ДР</v>
      </c>
      <c r="Z381" t="str">
        <f ca="1">IFERROR(__xludf.DUMMYFUNCTION("""COMPUTED_VALUE"""),"ООО «ТРЕЙН ИНВЕСТМЕНТ»")</f>
        <v>ООО «ТРЕЙН ИНВЕСТМЕНТ»</v>
      </c>
      <c r="AA381" t="str">
        <f ca="1">IFERROR(__xludf.DUMMYFUNCTION("""COMPUTED_VALUE"""),"12-753")</f>
        <v>12-753</v>
      </c>
      <c r="AB381" t="str">
        <f ca="1">IFERROR(__xludf.DUMMYFUNCTION("""COMPUTED_VALUE"""),"32 Ю-ЗАП")</f>
        <v>32 Ю-ЗАП</v>
      </c>
      <c r="AC381" t="str">
        <f ca="1">IFERROR(__xludf.DUMMYFUNCTION("""COMPUTED_VALUE"""),"34170 ПОЛОННОЕ")</f>
        <v>34170 ПОЛОННОЕ</v>
      </c>
      <c r="AD381" t="str">
        <f ca="1">IFERROR(__xludf.DUMMYFUNCTION("""COMPUTED_VALUE"""),"05.08.21 18-00")</f>
        <v>05.08.21 18-00</v>
      </c>
      <c r="AE381" t="str">
        <f ca="1">IFERROR(__xludf.DUMMYFUNCTION("""COMPUTED_VALUE"""),"540 НEИCПPAВНOCТЬ ЗAПOPA ЛЮКA")</f>
        <v>540 НEИCПPAВНOCТЬ ЗAПOPA ЛЮКA</v>
      </c>
      <c r="AF381" t="str">
        <f ca="1">IFERROR(__xludf.DUMMYFUNCTION("""COMPUTED_VALUE"""),"43 ЮЖН")</f>
        <v>43 ЮЖН</v>
      </c>
      <c r="AG381" t="str">
        <f ca="1">IFERROR(__xludf.DUMMYFUNCTION("""COMPUTED_VALUE"""),"44020 ОСНОВА")</f>
        <v>44020 ОСНОВА</v>
      </c>
      <c r="AH381" t="str">
        <f ca="1">IFERROR(__xludf.DUMMYFUNCTION("""COMPUTED_VALUE"""),"21.06.21 17-05")</f>
        <v>21.06.21 17-05</v>
      </c>
      <c r="AI381" s="21">
        <f ca="1">IFERROR(__xludf.DUMMYFUNCTION("""COMPUTED_VALUE"""),44420.3576851851)</f>
        <v>44420.357685185103</v>
      </c>
    </row>
    <row r="382" spans="1:35" ht="13" x14ac:dyDescent="0.15">
      <c r="A382">
        <f ca="1">IFERROR(__xludf.DUMMYFUNCTION("""COMPUTED_VALUE"""),1314)</f>
        <v>1314</v>
      </c>
      <c r="B382" t="str">
        <f ca="1">IFERROR(__xludf.DUMMYFUNCTION("""COMPUTED_VALUE"""),"Техрейс")</f>
        <v>Техрейс</v>
      </c>
      <c r="C382" t="str">
        <f ca="1">IFERROR(__xludf.DUMMYFUNCTION("""COMPUTED_VALUE"""),"ЕУ-Транс")</f>
        <v>ЕУ-Транс</v>
      </c>
      <c r="D382">
        <f ca="1">IFERROR(__xludf.DUMMYFUNCTION("""COMPUTED_VALUE"""),56695109)</f>
        <v>56695109</v>
      </c>
      <c r="E382" t="str">
        <f ca="1">IFERROR(__xludf.DUMMYFUNCTION("""COMPUTED_VALUE"""),"60 ПОЛУВАГОНЫ")</f>
        <v>60 ПОЛУВАГОНЫ</v>
      </c>
      <c r="F382">
        <f ca="1">IFERROR(__xludf.DUMMYFUNCTION("""COMPUTED_VALUE"""),42103)</f>
        <v>42103</v>
      </c>
      <c r="G382" t="str">
        <f ca="1">IFERROR(__xludf.DUMMYFUNCTION("""COMPUTED_VALUE"""),"ВАГОНЫ ЖД СВ")</f>
        <v>ВАГОНЫ ЖД СВ</v>
      </c>
      <c r="H382">
        <f ca="1">IFERROR(__xludf.DUMMYFUNCTION("""COMPUTED_VALUE"""),0)</f>
        <v>0</v>
      </c>
      <c r="I382">
        <f ca="1">IFERROR(__xludf.DUMMYFUNCTION("""COMPUTED_VALUE"""),5343)</f>
        <v>5343</v>
      </c>
      <c r="J382" t="str">
        <f ca="1">IFERROR(__xludf.DUMMYFUNCTION("""COMPUTED_VALUE"""),"2626 (40050-066-46720) БЕРЕГОВАЯ - КРИВОЙ РОГ")</f>
        <v>2626 (40050-066-46720) БЕРЕГОВАЯ - КРИВОЙ РОГ</v>
      </c>
      <c r="K382">
        <f ca="1">IFERROR(__xludf.DUMMYFUNCTION("""COMPUTED_VALUE"""),46720)</f>
        <v>46720</v>
      </c>
      <c r="L382" t="str">
        <f ca="1">IFERROR(__xludf.DUMMYFUNCTION("""COMPUTED_VALUE"""),"КРИВОЙ РОГ")</f>
        <v>КРИВОЙ РОГ</v>
      </c>
      <c r="M382" t="str">
        <f ca="1">IFERROR(__xludf.DUMMYFUNCTION("""COMPUTED_VALUE"""),"12.08.21 04-20")</f>
        <v>12.08.21 04-20</v>
      </c>
      <c r="N382" t="str">
        <f ca="1">IFERROR(__xludf.DUMMYFUNCTION("""COMPUTED_VALUE"""),"98 ОТОТ")</f>
        <v>98 ОТОТ</v>
      </c>
      <c r="O382">
        <f ca="1">IFERROR(__xludf.DUMMYFUNCTION("""COMPUTED_VALUE"""),46720)</f>
        <v>46720</v>
      </c>
      <c r="P382" t="str">
        <f ca="1">IFERROR(__xludf.DUMMYFUNCTION("""COMPUTED_VALUE"""),"КРИВОЙ РОГ")</f>
        <v>КРИВОЙ РОГ</v>
      </c>
      <c r="Q382">
        <f ca="1">IFERROR(__xludf.DUMMYFUNCTION("""COMPUTED_VALUE"""),40050)</f>
        <v>40050</v>
      </c>
      <c r="R382" t="str">
        <f ca="1">IFERROR(__xludf.DUMMYFUNCTION("""COMPUTED_VALUE"""),"БЕРЕГОВАЯ")</f>
        <v>БЕРЕГОВАЯ</v>
      </c>
      <c r="S382" t="str">
        <f ca="1">IFERROR(__xludf.DUMMYFUNCTION("""COMPUTED_VALUE"""),"11.08.21 02-20")</f>
        <v>11.08.21 02-20</v>
      </c>
      <c r="T382">
        <f ca="1">IFERROR(__xludf.DUMMYFUNCTION("""COMPUTED_VALUE"""),8200)</f>
        <v>8200</v>
      </c>
      <c r="U382" t="str">
        <f ca="1">IFERROR(__xludf.DUMMYFUNCTION("""COMPUTED_VALUE"""),"13.01.2023 ДР")</f>
        <v>13.01.2023 ДР</v>
      </c>
      <c r="Z382" t="str">
        <f ca="1">IFERROR(__xludf.DUMMYFUNCTION("""COMPUTED_VALUE"""),"ООО ""ЕУ-ТРАНС""")</f>
        <v>ООО "ЕУ-ТРАНС"</v>
      </c>
      <c r="AA382" t="str">
        <f ca="1">IFERROR(__xludf.DUMMYFUNCTION("""COMPUTED_VALUE"""),"12-753")</f>
        <v>12-753</v>
      </c>
      <c r="AB382" t="str">
        <f ca="1">IFERROR(__xludf.DUMMYFUNCTION("""COMPUTED_VALUE"""),"45 ПРИДН")</f>
        <v>45 ПРИДН</v>
      </c>
      <c r="AC382" t="str">
        <f ca="1">IFERROR(__xludf.DUMMYFUNCTION("""COMPUTED_VALUE"""),"46720 КРИВОЙ РОГ")</f>
        <v>46720 КРИВОЙ РОГ</v>
      </c>
      <c r="AD382" t="str">
        <f ca="1">IFERROR(__xludf.DUMMYFUNCTION("""COMPUTED_VALUE"""),"11.08.21 23-01")</f>
        <v>11.08.21 23-01</v>
      </c>
      <c r="AE382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82" t="str">
        <f ca="1">IFERROR(__xludf.DUMMYFUNCTION("""COMPUTED_VALUE"""),"45 ПРИДН")</f>
        <v>45 ПРИДН</v>
      </c>
      <c r="AG382" t="str">
        <f ca="1">IFERROR(__xludf.DUMMYFUNCTION("""COMPUTED_VALUE"""),"46720 КРИВОЙ РОГ")</f>
        <v>46720 КРИВОЙ РОГ</v>
      </c>
      <c r="AH382" t="str">
        <f ca="1">IFERROR(__xludf.DUMMYFUNCTION("""COMPUTED_VALUE"""),"04.08.21 05-00")</f>
        <v>04.08.21 05-00</v>
      </c>
      <c r="AI382" s="21">
        <f ca="1">IFERROR(__xludf.DUMMYFUNCTION("""COMPUTED_VALUE"""),44420.3576851851)</f>
        <v>44420.357685185103</v>
      </c>
    </row>
    <row r="383" spans="1:35" ht="13" x14ac:dyDescent="0.15">
      <c r="A383">
        <f ca="1">IFERROR(__xludf.DUMMYFUNCTION("""COMPUTED_VALUE"""),1321)</f>
        <v>1321</v>
      </c>
      <c r="B383" t="str">
        <f ca="1">IFERROR(__xludf.DUMMYFUNCTION("""COMPUTED_VALUE"""),"Техрейс")</f>
        <v>Техрейс</v>
      </c>
      <c r="C383" t="str">
        <f ca="1">IFERROR(__xludf.DUMMYFUNCTION("""COMPUTED_VALUE"""),"ЕУ-Транс")</f>
        <v>ЕУ-Транс</v>
      </c>
      <c r="D383">
        <f ca="1">IFERROR(__xludf.DUMMYFUNCTION("""COMPUTED_VALUE"""),56627177)</f>
        <v>56627177</v>
      </c>
      <c r="E383" t="str">
        <f ca="1">IFERROR(__xludf.DUMMYFUNCTION("""COMPUTED_VALUE"""),"60 ПОЛУВАГОНЫ")</f>
        <v>60 ПОЛУВАГОНЫ</v>
      </c>
      <c r="F383">
        <f ca="1">IFERROR(__xludf.DUMMYFUNCTION("""COMPUTED_VALUE"""),14109)</f>
        <v>14109</v>
      </c>
      <c r="G383" t="str">
        <f ca="1">IFERROR(__xludf.DUMMYFUNCTION("""COMPUTED_VALUE"""),"ГЕМАТИТ")</f>
        <v>ГЕМАТИТ</v>
      </c>
      <c r="H383">
        <f ca="1">IFERROR(__xludf.DUMMYFUNCTION("""COMPUTED_VALUE"""),71)</f>
        <v>71</v>
      </c>
      <c r="I383">
        <f ca="1">IFERROR(__xludf.DUMMYFUNCTION("""COMPUTED_VALUE"""),5786)</f>
        <v>5786</v>
      </c>
      <c r="J383" t="str">
        <f ca="1">IFERROR(__xludf.DUMMYFUNCTION("""COMPUTED_VALUE"""),"2760 (40050-083-46720) БЕРЕГОВАЯ - КРИВОЙ РОГ")</f>
        <v>2760 (40050-083-46720) БЕРЕГОВАЯ - КРИВОЙ РОГ</v>
      </c>
      <c r="K383">
        <f ca="1">IFERROR(__xludf.DUMMYFUNCTION("""COMPUTED_VALUE"""),40050)</f>
        <v>40050</v>
      </c>
      <c r="L383" t="str">
        <f ca="1">IFERROR(__xludf.DUMMYFUNCTION("""COMPUTED_VALUE"""),"БЕРЕГОВАЯ")</f>
        <v>БЕРЕГОВАЯ</v>
      </c>
      <c r="M383" t="str">
        <f ca="1">IFERROR(__xludf.DUMMYFUNCTION("""COMPUTED_VALUE"""),"12.08.21 00-10")</f>
        <v>12.08.21 00-10</v>
      </c>
      <c r="N383" t="str">
        <f ca="1">IFERROR(__xludf.DUMMYFUNCTION("""COMPUTED_VALUE"""),"21 ВЫГ2")</f>
        <v>21 ВЫГ2</v>
      </c>
      <c r="O383">
        <f ca="1">IFERROR(__xludf.DUMMYFUNCTION("""COMPUTED_VALUE"""),40060)</f>
        <v>40060</v>
      </c>
      <c r="P383" t="str">
        <f ca="1">IFERROR(__xludf.DUMMYFUNCTION("""COMPUTED_VALUE"""),"БЕРЕГОВАЯ-Э")</f>
        <v>БЕРЕГОВАЯ-Э</v>
      </c>
      <c r="Q383">
        <f ca="1">IFERROR(__xludf.DUMMYFUNCTION("""COMPUTED_VALUE"""),46720)</f>
        <v>46720</v>
      </c>
      <c r="R383" t="str">
        <f ca="1">IFERROR(__xludf.DUMMYFUNCTION("""COMPUTED_VALUE"""),"КРИВОЙ РОГ")</f>
        <v>КРИВОЙ РОГ</v>
      </c>
      <c r="S383" t="str">
        <f ca="1">IFERROR(__xludf.DUMMYFUNCTION("""COMPUTED_VALUE"""),"10.08.21 05-30")</f>
        <v>10.08.21 05-30</v>
      </c>
      <c r="U383" t="str">
        <f ca="1">IFERROR(__xludf.DUMMYFUNCTION("""COMPUTED_VALUE"""),"24.05.2023 ДР")</f>
        <v>24.05.2023 ДР</v>
      </c>
      <c r="Z383" t="str">
        <f ca="1">IFERROR(__xludf.DUMMYFUNCTION("""COMPUTED_VALUE"""),"ООО ""ЕУ-ТРАНС""")</f>
        <v>ООО "ЕУ-ТРАНС"</v>
      </c>
      <c r="AA383" t="str">
        <f ca="1">IFERROR(__xludf.DUMMYFUNCTION("""COMPUTED_VALUE"""),"12-141")</f>
        <v>12-141</v>
      </c>
      <c r="AB383" t="str">
        <f ca="1">IFERROR(__xludf.DUMMYFUNCTION("""COMPUTED_VALUE"""),"45 ПРИДН")</f>
        <v>45 ПРИДН</v>
      </c>
      <c r="AC383" t="str">
        <f ca="1">IFERROR(__xludf.DUMMYFUNCTION("""COMPUTED_VALUE"""),"45580 КАМЕНСКОЕ")</f>
        <v>45580 КАМЕНСКОЕ</v>
      </c>
      <c r="AD383" t="str">
        <f ca="1">IFERROR(__xludf.DUMMYFUNCTION("""COMPUTED_VALUE"""),"21.02.21 09-00")</f>
        <v>21.02.21 09-00</v>
      </c>
      <c r="AE383" t="str">
        <f ca="1">IFERROR(__xludf.DUMMYFUNCTION("""COMPUTED_VALUE"""),"540 НEИCПPAВНOCТЬ ЗAПOPA ЛЮКA")</f>
        <v>540 НEИCПPAВНOCТЬ ЗAПOPA ЛЮКA</v>
      </c>
      <c r="AF383" t="str">
        <f ca="1">IFERROR(__xludf.DUMMYFUNCTION("""COMPUTED_VALUE"""),"45 ПРИДН")</f>
        <v>45 ПРИДН</v>
      </c>
      <c r="AG383" t="str">
        <f ca="1">IFERROR(__xludf.DUMMYFUNCTION("""COMPUTED_VALUE"""),"45580 КАМЕНСКОЕ")</f>
        <v>45580 КАМЕНСКОЕ</v>
      </c>
      <c r="AH383" t="str">
        <f ca="1">IFERROR(__xludf.DUMMYFUNCTION("""COMPUTED_VALUE"""),"21.02.21 22-00")</f>
        <v>21.02.21 22-00</v>
      </c>
      <c r="AI383" s="21">
        <f ca="1">IFERROR(__xludf.DUMMYFUNCTION("""COMPUTED_VALUE"""),44420.3576851851)</f>
        <v>44420.357685185103</v>
      </c>
    </row>
    <row r="384" spans="1:35" ht="13" x14ac:dyDescent="0.15">
      <c r="A384">
        <f ca="1">IFERROR(__xludf.DUMMYFUNCTION("""COMPUTED_VALUE"""),1322)</f>
        <v>1322</v>
      </c>
      <c r="B384" t="str">
        <f ca="1">IFERROR(__xludf.DUMMYFUNCTION("""COMPUTED_VALUE"""),"Техрейс")</f>
        <v>Техрейс</v>
      </c>
      <c r="C384" t="str">
        <f ca="1">IFERROR(__xludf.DUMMYFUNCTION("""COMPUTED_VALUE"""),"ЕУ-Транс")</f>
        <v>ЕУ-Транс</v>
      </c>
      <c r="D384">
        <f ca="1">IFERROR(__xludf.DUMMYFUNCTION("""COMPUTED_VALUE"""),56628936)</f>
        <v>56628936</v>
      </c>
      <c r="E384" t="str">
        <f ca="1">IFERROR(__xludf.DUMMYFUNCTION("""COMPUTED_VALUE"""),"60 ПОЛУВАГОНЫ")</f>
        <v>60 ПОЛУВАГОНЫ</v>
      </c>
      <c r="F384">
        <f ca="1">IFERROR(__xludf.DUMMYFUNCTION("""COMPUTED_VALUE"""),42103)</f>
        <v>42103</v>
      </c>
      <c r="G384" t="str">
        <f ca="1">IFERROR(__xludf.DUMMYFUNCTION("""COMPUTED_VALUE"""),"ВАГОНЫ ЖД СВ")</f>
        <v>ВАГОНЫ ЖД СВ</v>
      </c>
      <c r="H384">
        <f ca="1">IFERROR(__xludf.DUMMYFUNCTION("""COMPUTED_VALUE"""),0)</f>
        <v>0</v>
      </c>
      <c r="I384">
        <f ca="1">IFERROR(__xludf.DUMMYFUNCTION("""COMPUTED_VALUE"""),4307)</f>
        <v>4307</v>
      </c>
      <c r="J384" t="str">
        <f ca="1">IFERROR(__xludf.DUMMYFUNCTION("""COMPUTED_VALUE"""),"3636 (40050-040-40000) БЕРЕГОВАЯ - ОДЕССА-СОРТ")</f>
        <v>3636 (40050-040-40000) БЕРЕГОВАЯ - ОДЕССА-СОРТ</v>
      </c>
      <c r="K384">
        <f ca="1">IFERROR(__xludf.DUMMYFUNCTION("""COMPUTED_VALUE"""),40110)</f>
        <v>40110</v>
      </c>
      <c r="L384" t="str">
        <f ca="1">IFERROR(__xludf.DUMMYFUNCTION("""COMPUTED_VALUE"""),"ЧЕРНОМОРСКАЯ")</f>
        <v>ЧЕРНОМОРСКАЯ</v>
      </c>
      <c r="M384" t="str">
        <f ca="1">IFERROR(__xludf.DUMMYFUNCTION("""COMPUTED_VALUE"""),"11.08.21 06-52")</f>
        <v>11.08.21 06-52</v>
      </c>
      <c r="N384" t="str">
        <f ca="1">IFERROR(__xludf.DUMMYFUNCTION("""COMPUTED_VALUE"""),"85 ПРСТ")</f>
        <v>85 ПРСТ</v>
      </c>
      <c r="O384">
        <f ca="1">IFERROR(__xludf.DUMMYFUNCTION("""COMPUTED_VALUE"""),40200)</f>
        <v>40200</v>
      </c>
      <c r="P384" t="str">
        <f ca="1">IFERROR(__xludf.DUMMYFUNCTION("""COMPUTED_VALUE"""),"ЧЕРНОМОРСК-П")</f>
        <v>ЧЕРНОМОРСК-П</v>
      </c>
      <c r="Q384">
        <f ca="1">IFERROR(__xludf.DUMMYFUNCTION("""COMPUTED_VALUE"""),40050)</f>
        <v>40050</v>
      </c>
      <c r="R384" t="str">
        <f ca="1">IFERROR(__xludf.DUMMYFUNCTION("""COMPUTED_VALUE"""),"БЕРЕГОВАЯ")</f>
        <v>БЕРЕГОВАЯ</v>
      </c>
      <c r="S384" t="str">
        <f ca="1">IFERROR(__xludf.DUMMYFUNCTION("""COMPUTED_VALUE"""),"08.08.21 13-45")</f>
        <v>08.08.21 13-45</v>
      </c>
      <c r="T384">
        <f ca="1">IFERROR(__xludf.DUMMYFUNCTION("""COMPUTED_VALUE"""),8200)</f>
        <v>8200</v>
      </c>
      <c r="U384" t="str">
        <f ca="1">IFERROR(__xludf.DUMMYFUNCTION("""COMPUTED_VALUE"""),"02.03.2024 ТР-1")</f>
        <v>02.03.2024 ТР-1</v>
      </c>
      <c r="Z384" t="str">
        <f ca="1">IFERROR(__xludf.DUMMYFUNCTION("""COMPUTED_VALUE"""),"ООО ""ЕУ-ТРАНС""")</f>
        <v>ООО "ЕУ-ТРАНС"</v>
      </c>
      <c r="AA384" t="str">
        <f ca="1">IFERROR(__xludf.DUMMYFUNCTION("""COMPUTED_VALUE"""),"12-532")</f>
        <v>12-532</v>
      </c>
      <c r="AB384" t="str">
        <f ca="1">IFERROR(__xludf.DUMMYFUNCTION("""COMPUTED_VALUE"""),"40 ОД")</f>
        <v>40 ОД</v>
      </c>
      <c r="AC384" t="str">
        <f ca="1">IFERROR(__xludf.DUMMYFUNCTION("""COMPUTED_VALUE"""),"41190 ПОМОШНАЯ")</f>
        <v>41190 ПОМОШНАЯ</v>
      </c>
      <c r="AD384" t="str">
        <f ca="1">IFERROR(__xludf.DUMMYFUNCTION("""COMPUTED_VALUE"""),"07.06.21 07-00")</f>
        <v>07.06.21 07-00</v>
      </c>
      <c r="AE384" t="str">
        <f ca="1">IFERROR(__xludf.DUMMYFUNCTION("""COMPUTED_VALUE"""),"570 ИCТEК КAЛЕНДАРНЫЙ CPOК ДEПOВCКОГО PEМOНТA")</f>
        <v>570 ИCТEК КAЛЕНДАРНЫЙ CPOК ДEПOВCКОГО PEМOНТA</v>
      </c>
      <c r="AF384" t="str">
        <f ca="1">IFERROR(__xludf.DUMMYFUNCTION("""COMPUTED_VALUE"""),"40 ОД")</f>
        <v>40 ОД</v>
      </c>
      <c r="AG384" t="str">
        <f ca="1">IFERROR(__xludf.DUMMYFUNCTION("""COMPUTED_VALUE"""),"41190 ПОМОШНАЯ")</f>
        <v>41190 ПОМОШНАЯ</v>
      </c>
      <c r="AH384" t="str">
        <f ca="1">IFERROR(__xludf.DUMMYFUNCTION("""COMPUTED_VALUE"""),"07.06.21 13-00")</f>
        <v>07.06.21 13-00</v>
      </c>
      <c r="AI384" s="21">
        <f ca="1">IFERROR(__xludf.DUMMYFUNCTION("""COMPUTED_VALUE"""),44420.3576851851)</f>
        <v>44420.357685185103</v>
      </c>
    </row>
    <row r="385" spans="1:35" ht="13" x14ac:dyDescent="0.15">
      <c r="A385">
        <f ca="1">IFERROR(__xludf.DUMMYFUNCTION("""COMPUTED_VALUE"""),1323)</f>
        <v>1323</v>
      </c>
      <c r="B385" t="str">
        <f ca="1">IFERROR(__xludf.DUMMYFUNCTION("""COMPUTED_VALUE"""),"Техрейс")</f>
        <v>Техрейс</v>
      </c>
      <c r="C385" t="str">
        <f ca="1">IFERROR(__xludf.DUMMYFUNCTION("""COMPUTED_VALUE"""),"ЕУ-Транс")</f>
        <v>ЕУ-Транс</v>
      </c>
      <c r="D385">
        <f ca="1">IFERROR(__xludf.DUMMYFUNCTION("""COMPUTED_VALUE"""),56624331)</f>
        <v>56624331</v>
      </c>
      <c r="E385" t="str">
        <f ca="1">IFERROR(__xludf.DUMMYFUNCTION("""COMPUTED_VALUE"""),"60 ПОЛУВАГОНЫ")</f>
        <v>60 ПОЛУВАГОНЫ</v>
      </c>
      <c r="F385">
        <f ca="1">IFERROR(__xludf.DUMMYFUNCTION("""COMPUTED_VALUE"""),23225)</f>
        <v>23225</v>
      </c>
      <c r="G385" t="str">
        <f ca="1">IFERROR(__xludf.DUMMYFUNCTION("""COMPUTED_VALUE"""),"ОТСЕВ ГРАН КАМ")</f>
        <v>ОТСЕВ ГРАН КАМ</v>
      </c>
      <c r="H385">
        <f ca="1">IFERROR(__xludf.DUMMYFUNCTION("""COMPUTED_VALUE"""),71)</f>
        <v>71</v>
      </c>
      <c r="I385">
        <f ca="1">IFERROR(__xludf.DUMMYFUNCTION("""COMPUTED_VALUE"""),1036)</f>
        <v>1036</v>
      </c>
      <c r="J385" t="str">
        <f ca="1">IFERROR(__xludf.DUMMYFUNCTION("""COMPUTED_VALUE"""),"3001 (45640-073-45000) ВЕРХОВЦЕВО - НИЖНЕДН-УЗЕЛ")</f>
        <v>3001 (45640-073-45000) ВЕРХОВЦЕВО - НИЖНЕДН-УЗЕЛ</v>
      </c>
      <c r="K385">
        <f ca="1">IFERROR(__xludf.DUMMYFUNCTION("""COMPUTED_VALUE"""),45600)</f>
        <v>45600</v>
      </c>
      <c r="L385" t="str">
        <f ca="1">IFERROR(__xludf.DUMMYFUNCTION("""COMPUTED_VALUE"""),"ЗАПОРОЖЬЕ-КА")</f>
        <v>ЗАПОРОЖЬЕ-КА</v>
      </c>
      <c r="M385" t="str">
        <f ca="1">IFERROR(__xludf.DUMMYFUNCTION("""COMPUTED_VALUE"""),"10.08.21 18-55")</f>
        <v>10.08.21 18-55</v>
      </c>
      <c r="N385" t="str">
        <f ca="1">IFERROR(__xludf.DUMMYFUNCTION("""COMPUTED_VALUE"""),"98 ОТОТ")</f>
        <v>98 ОТОТ</v>
      </c>
      <c r="O385">
        <f ca="1">IFERROR(__xludf.DUMMYFUNCTION("""COMPUTED_VALUE"""),45600)</f>
        <v>45600</v>
      </c>
      <c r="P385" t="str">
        <f ca="1">IFERROR(__xludf.DUMMYFUNCTION("""COMPUTED_VALUE"""),"ЗАПОРОЖЬЕ-КА")</f>
        <v>ЗАПОРОЖЬЕ-КА</v>
      </c>
      <c r="Q385">
        <f ca="1">IFERROR(__xludf.DUMMYFUNCTION("""COMPUTED_VALUE"""),41660)</f>
        <v>41660</v>
      </c>
      <c r="R385" t="str">
        <f ca="1">IFERROR(__xludf.DUMMYFUNCTION("""COMPUTED_VALUE"""),"БЛАКИТНОЕ")</f>
        <v>БЛАКИТНОЕ</v>
      </c>
      <c r="S385" t="str">
        <f ca="1">IFERROR(__xludf.DUMMYFUNCTION("""COMPUTED_VALUE"""),"04.08.21 15-50")</f>
        <v>04.08.21 15-50</v>
      </c>
      <c r="T385">
        <f ca="1">IFERROR(__xludf.DUMMYFUNCTION("""COMPUTED_VALUE"""),1879)</f>
        <v>1879</v>
      </c>
      <c r="U385" t="str">
        <f ca="1">IFERROR(__xludf.DUMMYFUNCTION("""COMPUTED_VALUE"""),"29.09.2021 ДР")</f>
        <v>29.09.2021 ДР</v>
      </c>
      <c r="Z385" t="str">
        <f ca="1">IFERROR(__xludf.DUMMYFUNCTION("""COMPUTED_VALUE"""),"ООО «ЕУ-Транс»")</f>
        <v>ООО «ЕУ-Транс»</v>
      </c>
      <c r="AA385" t="str">
        <f ca="1">IFERROR(__xludf.DUMMYFUNCTION("""COMPUTED_VALUE"""),"12-119")</f>
        <v>12-119</v>
      </c>
      <c r="AB385" t="str">
        <f ca="1">IFERROR(__xludf.DUMMYFUNCTION("""COMPUTED_VALUE"""),"48 ДОН")</f>
        <v>48 ДОН</v>
      </c>
      <c r="AC385" t="str">
        <f ca="1">IFERROR(__xludf.DUMMYFUNCTION("""COMPUTED_VALUE"""),"49480 СОЛЬ")</f>
        <v>49480 СОЛЬ</v>
      </c>
      <c r="AD385" t="str">
        <f ca="1">IFERROR(__xludf.DUMMYFUNCTION("""COMPUTED_VALUE"""),"06.07.21 08-50")</f>
        <v>06.07.21 08-50</v>
      </c>
      <c r="AE385" t="str">
        <f ca="1">IFERROR(__xludf.DUMMYFUNCTION("""COMPUTED_VALUE"""),"540 НEИCПPAВНOCТЬ ЗAПOPA ЛЮКA")</f>
        <v>540 НEИCПPAВНOCТЬ ЗAПOPA ЛЮКA</v>
      </c>
      <c r="AF385" t="str">
        <f ca="1">IFERROR(__xludf.DUMMYFUNCTION("""COMPUTED_VALUE"""),"48 ДОН")</f>
        <v>48 ДОН</v>
      </c>
      <c r="AG385" t="str">
        <f ca="1">IFERROR(__xludf.DUMMYFUNCTION("""COMPUTED_VALUE"""),"49480 СОЛЬ")</f>
        <v>49480 СОЛЬ</v>
      </c>
      <c r="AH385" t="str">
        <f ca="1">IFERROR(__xludf.DUMMYFUNCTION("""COMPUTED_VALUE"""),"08.07.21 16-30")</f>
        <v>08.07.21 16-30</v>
      </c>
      <c r="AI385" s="21">
        <f ca="1">IFERROR(__xludf.DUMMYFUNCTION("""COMPUTED_VALUE"""),44420.3576851851)</f>
        <v>44420.357685185103</v>
      </c>
    </row>
    <row r="386" spans="1:35" ht="13" x14ac:dyDescent="0.15">
      <c r="A386">
        <f ca="1">IFERROR(__xludf.DUMMYFUNCTION("""COMPUTED_VALUE"""),1324)</f>
        <v>1324</v>
      </c>
      <c r="B386" t="str">
        <f ca="1">IFERROR(__xludf.DUMMYFUNCTION("""COMPUTED_VALUE"""),"Техрейс")</f>
        <v>Техрейс</v>
      </c>
      <c r="C386" t="str">
        <f ca="1">IFERROR(__xludf.DUMMYFUNCTION("""COMPUTED_VALUE"""),"ЕУ-Транс")</f>
        <v>ЕУ-Транс</v>
      </c>
      <c r="D386">
        <f ca="1">IFERROR(__xludf.DUMMYFUNCTION("""COMPUTED_VALUE"""),56610314)</f>
        <v>56610314</v>
      </c>
      <c r="E386" t="str">
        <f ca="1">IFERROR(__xludf.DUMMYFUNCTION("""COMPUTED_VALUE"""),"60 ПОЛУВАГОНЫ")</f>
        <v>60 ПОЛУВАГОНЫ</v>
      </c>
      <c r="F386">
        <f ca="1">IFERROR(__xludf.DUMMYFUNCTION("""COMPUTED_VALUE"""),29101)</f>
        <v>29101</v>
      </c>
      <c r="G386" t="str">
        <f ca="1">IFERROR(__xludf.DUMMYFUNCTION("""COMPUTED_VALUE"""),"ДОЛОМИТ Д/СТЕК")</f>
        <v>ДОЛОМИТ Д/СТЕК</v>
      </c>
      <c r="H386">
        <f ca="1">IFERROR(__xludf.DUMMYFUNCTION("""COMPUTED_VALUE"""),69)</f>
        <v>69</v>
      </c>
      <c r="I386">
        <f ca="1">IFERROR(__xludf.DUMMYFUNCTION("""COMPUTED_VALUE"""),2421)</f>
        <v>2421</v>
      </c>
      <c r="J386" t="str">
        <f ca="1">IFERROR(__xludf.DUMMYFUNCTION("""COMPUTED_VALUE"""),"2238 (33000-396-32000) ЖМЕРИНКА - ДАРНИЦА")</f>
        <v>2238 (33000-396-32000) ЖМЕРИНКА - ДАРНИЦА</v>
      </c>
      <c r="K386">
        <f ca="1">IFERROR(__xludf.DUMMYFUNCTION("""COMPUTED_VALUE"""),33580)</f>
        <v>33580</v>
      </c>
      <c r="L386" t="str">
        <f ca="1">IFERROR(__xludf.DUMMYFUNCTION("""COMPUTED_VALUE"""),"ВИННИЦА")</f>
        <v>ВИННИЦА</v>
      </c>
      <c r="M386" t="str">
        <f ca="1">IFERROR(__xludf.DUMMYFUNCTION("""COMPUTED_VALUE"""),"11.08.21 14-58")</f>
        <v>11.08.21 14-58</v>
      </c>
      <c r="N386" t="str">
        <f ca="1">IFERROR(__xludf.DUMMYFUNCTION("""COMPUTED_VALUE"""),"01 ПРИБ")</f>
        <v>01 ПРИБ</v>
      </c>
      <c r="O386">
        <f ca="1">IFERROR(__xludf.DUMMYFUNCTION("""COMPUTED_VALUE"""),32210)</f>
        <v>32210</v>
      </c>
      <c r="P386" t="str">
        <f ca="1">IFERROR(__xludf.DUMMYFUNCTION("""COMPUTED_VALUE"""),"БУЧА")</f>
        <v>БУЧА</v>
      </c>
      <c r="Q386">
        <f ca="1">IFERROR(__xludf.DUMMYFUNCTION("""COMPUTED_VALUE"""),36440)</f>
        <v>36440</v>
      </c>
      <c r="R386" t="str">
        <f ca="1">IFERROR(__xludf.DUMMYFUNCTION("""COMPUTED_VALUE"""),"БУЧАЧ")</f>
        <v>БУЧАЧ</v>
      </c>
      <c r="S386" t="str">
        <f ca="1">IFERROR(__xludf.DUMMYFUNCTION("""COMPUTED_VALUE"""),"01.08.21 17-05")</f>
        <v>01.08.21 17-05</v>
      </c>
      <c r="T386">
        <f ca="1">IFERROR(__xludf.DUMMYFUNCTION("""COMPUTED_VALUE"""),1641)</f>
        <v>1641</v>
      </c>
      <c r="U386" t="str">
        <f ca="1">IFERROR(__xludf.DUMMYFUNCTION("""COMPUTED_VALUE"""),"30.06.2022 ДР")</f>
        <v>30.06.2022 ДР</v>
      </c>
      <c r="Z386" t="str">
        <f ca="1">IFERROR(__xludf.DUMMYFUNCTION("""COMPUTED_VALUE"""),"ООО «ЕУ-Транс»")</f>
        <v>ООО «ЕУ-Транс»</v>
      </c>
      <c r="AA386" t="str">
        <f ca="1">IFERROR(__xludf.DUMMYFUNCTION("""COMPUTED_VALUE"""),"12-753")</f>
        <v>12-753</v>
      </c>
      <c r="AB386" t="str">
        <f ca="1">IFERROR(__xludf.DUMMYFUNCTION("""COMPUTED_VALUE"""),"32 Ю-ЗАП")</f>
        <v>32 Ю-ЗАП</v>
      </c>
      <c r="AC386" t="str">
        <f ca="1">IFERROR(__xludf.DUMMYFUNCTION("""COMPUTED_VALUE"""),"34720 ТОЛКАЧЕВСКИЙ")</f>
        <v>34720 ТОЛКАЧЕВСКИЙ</v>
      </c>
      <c r="AD386" t="str">
        <f ca="1">IFERROR(__xludf.DUMMYFUNCTION("""COMPUTED_VALUE"""),"21.06.21 08-00")</f>
        <v>21.06.21 08-00</v>
      </c>
      <c r="AE386" t="str">
        <f ca="1">IFERROR(__xludf.DUMMYFUNCTION("""COMPUTED_VALUE"""),"540 НEИCПPAВНOCТЬ ЗAПOPA ЛЮКA")</f>
        <v>540 НEИCПPAВНOCТЬ ЗAПOPA ЛЮКA</v>
      </c>
      <c r="AF386" t="str">
        <f ca="1">IFERROR(__xludf.DUMMYFUNCTION("""COMPUTED_VALUE"""),"32 Ю-ЗАП")</f>
        <v>32 Ю-ЗАП</v>
      </c>
      <c r="AG386" t="str">
        <f ca="1">IFERROR(__xludf.DUMMYFUNCTION("""COMPUTED_VALUE"""),"34720 ТОЛКАЧЕВСКИЙ")</f>
        <v>34720 ТОЛКАЧЕВСКИЙ</v>
      </c>
      <c r="AH386" t="str">
        <f ca="1">IFERROR(__xludf.DUMMYFUNCTION("""COMPUTED_VALUE"""),"01.07.21 16-00")</f>
        <v>01.07.21 16-00</v>
      </c>
      <c r="AI386" s="21">
        <f ca="1">IFERROR(__xludf.DUMMYFUNCTION("""COMPUTED_VALUE"""),44420.3576851851)</f>
        <v>44420.357685185103</v>
      </c>
    </row>
    <row r="387" spans="1:35" ht="13" x14ac:dyDescent="0.15">
      <c r="A387">
        <f ca="1">IFERROR(__xludf.DUMMYFUNCTION("""COMPUTED_VALUE"""),1325)</f>
        <v>1325</v>
      </c>
      <c r="B387" t="str">
        <f ca="1">IFERROR(__xludf.DUMMYFUNCTION("""COMPUTED_VALUE"""),"Агрохимресурс")</f>
        <v>Агрохимресурс</v>
      </c>
      <c r="C387" t="str">
        <f ca="1">IFERROR(__xludf.DUMMYFUNCTION("""COMPUTED_VALUE"""),"ЕУ-Транс")</f>
        <v>ЕУ-Транс</v>
      </c>
      <c r="D387">
        <f ca="1">IFERROR(__xludf.DUMMYFUNCTION("""COMPUTED_VALUE"""),56627565)</f>
        <v>56627565</v>
      </c>
      <c r="E387" t="str">
        <f ca="1">IFERROR(__xludf.DUMMYFUNCTION("""COMPUTED_VALUE"""),"60 ПОЛУВАГОНЫ")</f>
        <v>60 ПОЛУВАГОНЫ</v>
      </c>
      <c r="F387">
        <f ca="1">IFERROR(__xludf.DUMMYFUNCTION("""COMPUTED_VALUE"""),42103)</f>
        <v>42103</v>
      </c>
      <c r="G387" t="str">
        <f ca="1">IFERROR(__xludf.DUMMYFUNCTION("""COMPUTED_VALUE"""),"ВАГОНЫ ЖД СВ")</f>
        <v>ВАГОНЫ ЖД СВ</v>
      </c>
      <c r="H387">
        <f ca="1">IFERROR(__xludf.DUMMYFUNCTION("""COMPUTED_VALUE"""),0)</f>
        <v>0</v>
      </c>
      <c r="I387">
        <f ca="1">IFERROR(__xludf.DUMMYFUNCTION("""COMPUTED_VALUE"""),7868)</f>
        <v>7868</v>
      </c>
      <c r="J387" t="str">
        <f ca="1">IFERROR(__xludf.DUMMYFUNCTION("""COMPUTED_VALUE"""),"1111 (33580-181-33000) ВИННИЦА - ЖМЕРИНКА")</f>
        <v>1111 (33580-181-33000) ВИННИЦА - ЖМЕРИНКА</v>
      </c>
      <c r="K387">
        <f ca="1">IFERROR(__xludf.DUMMYFUNCTION("""COMPUTED_VALUE"""),33580)</f>
        <v>33580</v>
      </c>
      <c r="L387" t="str">
        <f ca="1">IFERROR(__xludf.DUMMYFUNCTION("""COMPUTED_VALUE"""),"ВИННИЦА")</f>
        <v>ВИННИЦА</v>
      </c>
      <c r="M387" t="str">
        <f ca="1">IFERROR(__xludf.DUMMYFUNCTION("""COMPUTED_VALUE"""),"12.08.21 04-23")</f>
        <v>12.08.21 04-23</v>
      </c>
      <c r="N387" t="str">
        <f ca="1">IFERROR(__xludf.DUMMYFUNCTION("""COMPUTED_VALUE"""),"05 ФОРМ")</f>
        <v>05 ФОРМ</v>
      </c>
      <c r="O387">
        <f ca="1">IFERROR(__xludf.DUMMYFUNCTION("""COMPUTED_VALUE"""),41740)</f>
        <v>41740</v>
      </c>
      <c r="P387" t="str">
        <f ca="1">IFERROR(__xludf.DUMMYFUNCTION("""COMPUTED_VALUE"""),"ПРИБУГСКАЯ")</f>
        <v>ПРИБУГСКАЯ</v>
      </c>
      <c r="Q387">
        <f ca="1">IFERROR(__xludf.DUMMYFUNCTION("""COMPUTED_VALUE"""),33620)</f>
        <v>33620</v>
      </c>
      <c r="R387" t="str">
        <f ca="1">IFERROR(__xludf.DUMMYFUNCTION("""COMPUTED_VALUE"""),"НЕМИРОВ")</f>
        <v>НЕМИРОВ</v>
      </c>
      <c r="S387" t="str">
        <f ca="1">IFERROR(__xludf.DUMMYFUNCTION("""COMPUTED_VALUE"""),"10.08.21 15-00")</f>
        <v>10.08.21 15-00</v>
      </c>
      <c r="T387">
        <f ca="1">IFERROR(__xludf.DUMMYFUNCTION("""COMPUTED_VALUE"""),4307)</f>
        <v>4307</v>
      </c>
      <c r="U387" t="str">
        <f ca="1">IFERROR(__xludf.DUMMYFUNCTION("""COMPUTED_VALUE"""),"27.12.2022 ДР")</f>
        <v>27.12.2022 ДР</v>
      </c>
      <c r="Z387" t="str">
        <f ca="1">IFERROR(__xludf.DUMMYFUNCTION("""COMPUTED_VALUE"""),"ООО ""ЕУ-ТРАНС""")</f>
        <v>ООО "ЕУ-ТРАНС"</v>
      </c>
      <c r="AA387" t="str">
        <f ca="1">IFERROR(__xludf.DUMMYFUNCTION("""COMPUTED_VALUE"""),"12-119")</f>
        <v>12-119</v>
      </c>
      <c r="AB387" t="str">
        <f ca="1">IFERROR(__xludf.DUMMYFUNCTION("""COMPUTED_VALUE"""),"48 ДОН")</f>
        <v>48 ДОН</v>
      </c>
      <c r="AC387" t="str">
        <f ca="1">IFERROR(__xludf.DUMMYFUNCTION("""COMPUTED_VALUE"""),"49480 СОЛЬ")</f>
        <v>49480 СОЛЬ</v>
      </c>
      <c r="AD387" t="str">
        <f ca="1">IFERROR(__xludf.DUMMYFUNCTION("""COMPUTED_VALUE"""),"07.03.21 21-00")</f>
        <v>07.03.21 21-00</v>
      </c>
      <c r="AE387" t="str">
        <f ca="1">IFERROR(__xludf.DUMMYFUNCTION("""COMPUTED_VALUE"""),"448 НEИCПPAВНOCТЬ РУЧНОГО CТOЯНOЧНОГО ТOPМOЗA")</f>
        <v>448 НEИCПPAВНOCТЬ РУЧНОГО CТOЯНOЧНОГО ТOPМOЗA</v>
      </c>
      <c r="AF387" t="str">
        <f ca="1">IFERROR(__xludf.DUMMYFUNCTION("""COMPUTED_VALUE"""),"48 ДОН")</f>
        <v>48 ДОН</v>
      </c>
      <c r="AG387" t="str">
        <f ca="1">IFERROR(__xludf.DUMMYFUNCTION("""COMPUTED_VALUE"""),"49480 СОЛЬ")</f>
        <v>49480 СОЛЬ</v>
      </c>
      <c r="AH387" t="str">
        <f ca="1">IFERROR(__xludf.DUMMYFUNCTION("""COMPUTED_VALUE"""),"10.03.21 16-30")</f>
        <v>10.03.21 16-30</v>
      </c>
      <c r="AI387" s="21">
        <f ca="1">IFERROR(__xludf.DUMMYFUNCTION("""COMPUTED_VALUE"""),44420.3576851851)</f>
        <v>44420.357685185103</v>
      </c>
    </row>
    <row r="388" spans="1:35" ht="13" x14ac:dyDescent="0.15">
      <c r="A388">
        <f ca="1">IFERROR(__xludf.DUMMYFUNCTION("""COMPUTED_VALUE"""),1326)</f>
        <v>1326</v>
      </c>
      <c r="B388" t="str">
        <f ca="1">IFERROR(__xludf.DUMMYFUNCTION("""COMPUTED_VALUE"""),"Техрейс")</f>
        <v>Техрейс</v>
      </c>
      <c r="C388" t="str">
        <f ca="1">IFERROR(__xludf.DUMMYFUNCTION("""COMPUTED_VALUE"""),"ЕУ-Транс")</f>
        <v>ЕУ-Транс</v>
      </c>
      <c r="D388">
        <f ca="1">IFERROR(__xludf.DUMMYFUNCTION("""COMPUTED_VALUE"""),52807203)</f>
        <v>52807203</v>
      </c>
      <c r="E388" t="str">
        <f ca="1">IFERROR(__xludf.DUMMYFUNCTION("""COMPUTED_VALUE"""),"60 ПОЛУВАГОНЫ")</f>
        <v>60 ПОЛУВАГОНЫ</v>
      </c>
      <c r="F388">
        <f ca="1">IFERROR(__xludf.DUMMYFUNCTION("""COMPUTED_VALUE"""),14109)</f>
        <v>14109</v>
      </c>
      <c r="G388" t="str">
        <f ca="1">IFERROR(__xludf.DUMMYFUNCTION("""COMPUTED_VALUE"""),"ГЕМАТИТ")</f>
        <v>ГЕМАТИТ</v>
      </c>
      <c r="H388">
        <f ca="1">IFERROR(__xludf.DUMMYFUNCTION("""COMPUTED_VALUE"""),69)</f>
        <v>69</v>
      </c>
      <c r="I388">
        <f ca="1">IFERROR(__xludf.DUMMYFUNCTION("""COMPUTED_VALUE"""),5786)</f>
        <v>5786</v>
      </c>
      <c r="J388" t="str">
        <f ca="1">IFERROR(__xludf.DUMMYFUNCTION("""COMPUTED_VALUE"""),"3501 (46720-469-40060) КРИВОЙ РОГ - БЕРЕГОВАЯ-Э")</f>
        <v>3501 (46720-469-40060) КРИВОЙ РОГ - БЕРЕГОВАЯ-Э</v>
      </c>
      <c r="K388">
        <f ca="1">IFERROR(__xludf.DUMMYFUNCTION("""COMPUTED_VALUE"""),46720)</f>
        <v>46720</v>
      </c>
      <c r="L388" t="str">
        <f ca="1">IFERROR(__xludf.DUMMYFUNCTION("""COMPUTED_VALUE"""),"КРИВОЙ РОГ")</f>
        <v>КРИВОЙ РОГ</v>
      </c>
      <c r="M388" t="str">
        <f ca="1">IFERROR(__xludf.DUMMYFUNCTION("""COMPUTED_VALUE"""),"12.08.21 07-02")</f>
        <v>12.08.21 07-02</v>
      </c>
      <c r="N388" t="str">
        <f ca="1">IFERROR(__xludf.DUMMYFUNCTION("""COMPUTED_VALUE"""),"05 ФОРМ")</f>
        <v>05 ФОРМ</v>
      </c>
      <c r="O388">
        <f ca="1">IFERROR(__xludf.DUMMYFUNCTION("""COMPUTED_VALUE"""),40060)</f>
        <v>40060</v>
      </c>
      <c r="P388" t="str">
        <f ca="1">IFERROR(__xludf.DUMMYFUNCTION("""COMPUTED_VALUE"""),"БЕРЕГОВАЯ-Э")</f>
        <v>БЕРЕГОВАЯ-Э</v>
      </c>
      <c r="Q388">
        <f ca="1">IFERROR(__xludf.DUMMYFUNCTION("""COMPUTED_VALUE"""),46720)</f>
        <v>46720</v>
      </c>
      <c r="R388" t="str">
        <f ca="1">IFERROR(__xludf.DUMMYFUNCTION("""COMPUTED_VALUE"""),"КРИВОЙ РОГ")</f>
        <v>КРИВОЙ РОГ</v>
      </c>
      <c r="S388" t="str">
        <f ca="1">IFERROR(__xludf.DUMMYFUNCTION("""COMPUTED_VALUE"""),"12.08.21 07-00")</f>
        <v>12.08.21 07-00</v>
      </c>
      <c r="T388">
        <f ca="1">IFERROR(__xludf.DUMMYFUNCTION("""COMPUTED_VALUE"""),5343)</f>
        <v>5343</v>
      </c>
      <c r="U388" t="str">
        <f ca="1">IFERROR(__xludf.DUMMYFUNCTION("""COMPUTED_VALUE"""),"08.01.2023 ДР")</f>
        <v>08.01.2023 ДР</v>
      </c>
      <c r="Z388" t="str">
        <f ca="1">IFERROR(__xludf.DUMMYFUNCTION("""COMPUTED_VALUE"""),"ООО ""ЕУ-ТРАНС""")</f>
        <v>ООО "ЕУ-ТРАНС"</v>
      </c>
      <c r="AA388" t="str">
        <f ca="1">IFERROR(__xludf.DUMMYFUNCTION("""COMPUTED_VALUE"""),"12-532")</f>
        <v>12-532</v>
      </c>
      <c r="AB388" t="str">
        <f ca="1">IFERROR(__xludf.DUMMYFUNCTION("""COMPUTED_VALUE"""),"45 ПРИДН")</f>
        <v>45 ПРИДН</v>
      </c>
      <c r="AC388" t="str">
        <f ca="1">IFERROR(__xludf.DUMMYFUNCTION("""COMPUTED_VALUE"""),"46720 КРИВОЙ РОГ")</f>
        <v>46720 КРИВОЙ РОГ</v>
      </c>
      <c r="AD388" t="str">
        <f ca="1">IFERROR(__xludf.DUMMYFUNCTION("""COMPUTED_VALUE"""),"07.08.21 09-50")</f>
        <v>07.08.21 09-50</v>
      </c>
      <c r="AE388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388" t="str">
        <f ca="1">IFERROR(__xludf.DUMMYFUNCTION("""COMPUTED_VALUE"""),"45 ПРИДН")</f>
        <v>45 ПРИДН</v>
      </c>
      <c r="AG388" t="str">
        <f ca="1">IFERROR(__xludf.DUMMYFUNCTION("""COMPUTED_VALUE"""),"46720 КРИВОЙ РОГ")</f>
        <v>46720 КРИВОЙ РОГ</v>
      </c>
      <c r="AH388" t="str">
        <f ca="1">IFERROR(__xludf.DUMMYFUNCTION("""COMPUTED_VALUE"""),"08.08.21 16-00")</f>
        <v>08.08.21 16-00</v>
      </c>
      <c r="AI388" s="21">
        <f ca="1">IFERROR(__xludf.DUMMYFUNCTION("""COMPUTED_VALUE"""),44420.3576851851)</f>
        <v>44420.357685185103</v>
      </c>
    </row>
    <row r="389" spans="1:35" ht="13" x14ac:dyDescent="0.15">
      <c r="A389">
        <f ca="1">IFERROR(__xludf.DUMMYFUNCTION("""COMPUTED_VALUE"""),1327)</f>
        <v>1327</v>
      </c>
      <c r="B389" t="str">
        <f ca="1">IFERROR(__xludf.DUMMYFUNCTION("""COMPUTED_VALUE"""),"Техрейс")</f>
        <v>Техрейс</v>
      </c>
      <c r="C389" t="str">
        <f ca="1">IFERROR(__xludf.DUMMYFUNCTION("""COMPUTED_VALUE"""),"ЮТАЛ-ТРАНС")</f>
        <v>ЮТАЛ-ТРАНС</v>
      </c>
      <c r="D389">
        <f ca="1">IFERROR(__xludf.DUMMYFUNCTION("""COMPUTED_VALUE"""),56596786)</f>
        <v>56596786</v>
      </c>
      <c r="E389" t="str">
        <f ca="1">IFERROR(__xludf.DUMMYFUNCTION("""COMPUTED_VALUE"""),"60 ПОЛУВАГОНЫ")</f>
        <v>60 ПОЛУВАГОНЫ</v>
      </c>
      <c r="F389">
        <f ca="1">IFERROR(__xludf.DUMMYFUNCTION("""COMPUTED_VALUE"""),42103)</f>
        <v>42103</v>
      </c>
      <c r="G389" t="str">
        <f ca="1">IFERROR(__xludf.DUMMYFUNCTION("""COMPUTED_VALUE"""),"ВАГОНЫ ЖД СВ")</f>
        <v>ВАГОНЫ ЖД СВ</v>
      </c>
      <c r="H389">
        <f ca="1">IFERROR(__xludf.DUMMYFUNCTION("""COMPUTED_VALUE"""),0)</f>
        <v>0</v>
      </c>
      <c r="I389">
        <f ca="1">IFERROR(__xludf.DUMMYFUNCTION("""COMPUTED_VALUE"""),5343)</f>
        <v>5343</v>
      </c>
      <c r="J389" t="str">
        <f ca="1">IFERROR(__xludf.DUMMYFUNCTION("""COMPUTED_VALUE"""),"5555 (46720-324-00010) КРИВОЙ РОГ -")</f>
        <v>5555 (46720-324-00010) КРИВОЙ РОГ -</v>
      </c>
      <c r="K389">
        <f ca="1">IFERROR(__xludf.DUMMYFUNCTION("""COMPUTED_VALUE"""),46720)</f>
        <v>46720</v>
      </c>
      <c r="L389" t="str">
        <f ca="1">IFERROR(__xludf.DUMMYFUNCTION("""COMPUTED_VALUE"""),"КРИВОЙ РОГ")</f>
        <v>КРИВОЙ РОГ</v>
      </c>
      <c r="M389" t="str">
        <f ca="1">IFERROR(__xludf.DUMMYFUNCTION("""COMPUTED_VALUE"""),"04.08.21 16-10")</f>
        <v>04.08.21 16-10</v>
      </c>
      <c r="N389" t="str">
        <f ca="1">IFERROR(__xludf.DUMMYFUNCTION("""COMPUTED_VALUE"""),"98 ОТОТ")</f>
        <v>98 ОТОТ</v>
      </c>
      <c r="O389">
        <f ca="1">IFERROR(__xludf.DUMMYFUNCTION("""COMPUTED_VALUE"""),46720)</f>
        <v>46720</v>
      </c>
      <c r="P389" t="str">
        <f ca="1">IFERROR(__xludf.DUMMYFUNCTION("""COMPUTED_VALUE"""),"КРИВОЙ РОГ")</f>
        <v>КРИВОЙ РОГ</v>
      </c>
      <c r="Q389">
        <f ca="1">IFERROR(__xludf.DUMMYFUNCTION("""COMPUTED_VALUE"""),40050)</f>
        <v>40050</v>
      </c>
      <c r="R389" t="str">
        <f ca="1">IFERROR(__xludf.DUMMYFUNCTION("""COMPUTED_VALUE"""),"БЕРЕГОВАЯ")</f>
        <v>БЕРЕГОВАЯ</v>
      </c>
      <c r="S389" t="str">
        <f ca="1">IFERROR(__xludf.DUMMYFUNCTION("""COMPUTED_VALUE"""),"03.08.21 14-20")</f>
        <v>03.08.21 14-20</v>
      </c>
      <c r="T389">
        <f ca="1">IFERROR(__xludf.DUMMYFUNCTION("""COMPUTED_VALUE"""),8200)</f>
        <v>8200</v>
      </c>
      <c r="U389" t="str">
        <f ca="1">IFERROR(__xludf.DUMMYFUNCTION("""COMPUTED_VALUE"""),"29.10.2023 ДР")</f>
        <v>29.10.2023 ДР</v>
      </c>
      <c r="Z389" t="str">
        <f ca="1">IFERROR(__xludf.DUMMYFUNCTION("""COMPUTED_VALUE"""),"ООО ""КОМПАНИЯ ""ЮТАЛ-ТРАНС""")</f>
        <v>ООО "КОМПАНИЯ "ЮТАЛ-ТРАНС"</v>
      </c>
      <c r="AA389" t="str">
        <f ca="1">IFERROR(__xludf.DUMMYFUNCTION("""COMPUTED_VALUE"""),"12-119")</f>
        <v>12-119</v>
      </c>
      <c r="AB389" t="str">
        <f ca="1">IFERROR(__xludf.DUMMYFUNCTION("""COMPUTED_VALUE"""),"45 ПРИДН")</f>
        <v>45 ПРИДН</v>
      </c>
      <c r="AC389" t="str">
        <f ca="1">IFERROR(__xludf.DUMMYFUNCTION("""COMPUTED_VALUE"""),"45000 НИЖНЕДН-УЗЕЛ")</f>
        <v>45000 НИЖНЕДН-УЗЕЛ</v>
      </c>
      <c r="AD389" t="str">
        <f ca="1">IFERROR(__xludf.DUMMYFUNCTION("""COMPUTED_VALUE"""),"03.07.21 01-00")</f>
        <v>03.07.21 01-00</v>
      </c>
      <c r="AE389" t="str">
        <f ca="1">IFERROR(__xludf.DUMMYFUNCTION("""COMPUTED_VALUE"""),"410 НЕИСПРАВНОСТЬ ТРОЙНИКА")</f>
        <v>410 НЕИСПРАВНОСТЬ ТРОЙНИКА</v>
      </c>
      <c r="AF389" t="str">
        <f ca="1">IFERROR(__xludf.DUMMYFUNCTION("""COMPUTED_VALUE"""),"45 ПРИДН")</f>
        <v>45 ПРИДН</v>
      </c>
      <c r="AG389" t="str">
        <f ca="1">IFERROR(__xludf.DUMMYFUNCTION("""COMPUTED_VALUE"""),"45000 НИЖНЕДН-УЗЕЛ")</f>
        <v>45000 НИЖНЕДН-УЗЕЛ</v>
      </c>
      <c r="AH389" t="str">
        <f ca="1">IFERROR(__xludf.DUMMYFUNCTION("""COMPUTED_VALUE"""),"08.07.21 16-00")</f>
        <v>08.07.21 16-00</v>
      </c>
      <c r="AI389" s="21">
        <f ca="1">IFERROR(__xludf.DUMMYFUNCTION("""COMPUTED_VALUE"""),44420.3576851851)</f>
        <v>44420.357685185103</v>
      </c>
    </row>
    <row r="390" spans="1:35" ht="13" x14ac:dyDescent="0.15">
      <c r="A390">
        <f ca="1">IFERROR(__xludf.DUMMYFUNCTION("""COMPUTED_VALUE"""),1328)</f>
        <v>1328</v>
      </c>
      <c r="B390" t="str">
        <f ca="1">IFERROR(__xludf.DUMMYFUNCTION("""COMPUTED_VALUE"""),"Техрейс")</f>
        <v>Техрейс</v>
      </c>
      <c r="C390" t="str">
        <f ca="1">IFERROR(__xludf.DUMMYFUNCTION("""COMPUTED_VALUE"""),"ЮТАЛ-ТРАНС")</f>
        <v>ЮТАЛ-ТРАНС</v>
      </c>
      <c r="D390">
        <f ca="1">IFERROR(__xludf.DUMMYFUNCTION("""COMPUTED_VALUE"""),58335332)</f>
        <v>58335332</v>
      </c>
      <c r="E390" t="str">
        <f ca="1">IFERROR(__xludf.DUMMYFUNCTION("""COMPUTED_VALUE"""),"60 ПОЛУВАГОНЫ")</f>
        <v>60 ПОЛУВАГОНЫ</v>
      </c>
      <c r="F390">
        <f ca="1">IFERROR(__xludf.DUMMYFUNCTION("""COMPUTED_VALUE"""),42103)</f>
        <v>42103</v>
      </c>
      <c r="G390" t="str">
        <f ca="1">IFERROR(__xludf.DUMMYFUNCTION("""COMPUTED_VALUE"""),"ВАГОНЫ ЖД СВ")</f>
        <v>ВАГОНЫ ЖД СВ</v>
      </c>
      <c r="H390">
        <f ca="1">IFERROR(__xludf.DUMMYFUNCTION("""COMPUTED_VALUE"""),0)</f>
        <v>0</v>
      </c>
      <c r="I390">
        <f ca="1">IFERROR(__xludf.DUMMYFUNCTION("""COMPUTED_VALUE"""),8607)</f>
        <v>8607</v>
      </c>
      <c r="J390" t="str">
        <f ca="1">IFERROR(__xludf.DUMMYFUNCTION("""COMPUTED_VALUE"""),"3001 (34350-210-34270) ФАСТОВ I - КАЗАТИН I")</f>
        <v>3001 (34350-210-34270) ФАСТОВ I - КАЗАТИН I</v>
      </c>
      <c r="K390">
        <f ca="1">IFERROR(__xludf.DUMMYFUNCTION("""COMPUTED_VALUE"""),34280)</f>
        <v>34280</v>
      </c>
      <c r="L390" t="str">
        <f ca="1">IFERROR(__xludf.DUMMYFUNCTION("""COMPUTED_VALUE"""),"ЧЕРНОРУДКА")</f>
        <v>ЧЕРНОРУДКА</v>
      </c>
      <c r="M390" t="str">
        <f ca="1">IFERROR(__xludf.DUMMYFUNCTION("""COMPUTED_VALUE"""),"11.08.21 16-20")</f>
        <v>11.08.21 16-20</v>
      </c>
      <c r="N390" t="str">
        <f ca="1">IFERROR(__xludf.DUMMYFUNCTION("""COMPUTED_VALUE"""),"01 ПРИБ")</f>
        <v>01 ПРИБ</v>
      </c>
      <c r="O390">
        <f ca="1">IFERROR(__xludf.DUMMYFUNCTION("""COMPUTED_VALUE"""),33700)</f>
        <v>33700</v>
      </c>
      <c r="P390" t="str">
        <f ca="1">IFERROR(__xludf.DUMMYFUNCTION("""COMPUTED_VALUE"""),"ГУЛЕВЦЫ")</f>
        <v>ГУЛЕВЦЫ</v>
      </c>
      <c r="Q390">
        <f ca="1">IFERROR(__xludf.DUMMYFUNCTION("""COMPUTED_VALUE"""),34370)</f>
        <v>34370</v>
      </c>
      <c r="R390" t="str">
        <f ca="1">IFERROR(__xludf.DUMMYFUNCTION("""COMPUTED_VALUE"""),"УСТИНОВКА")</f>
        <v>УСТИНОВКА</v>
      </c>
      <c r="S390" t="str">
        <f ca="1">IFERROR(__xludf.DUMMYFUNCTION("""COMPUTED_VALUE"""),"03.08.21 20-05")</f>
        <v>03.08.21 20-05</v>
      </c>
      <c r="T390">
        <f ca="1">IFERROR(__xludf.DUMMYFUNCTION("""COMPUTED_VALUE"""),8200)</f>
        <v>8200</v>
      </c>
      <c r="U390" t="str">
        <f ca="1">IFERROR(__xludf.DUMMYFUNCTION("""COMPUTED_VALUE"""),"06.07.2022 ДР")</f>
        <v>06.07.2022 ДР</v>
      </c>
      <c r="Z390" t="str">
        <f ca="1">IFERROR(__xludf.DUMMYFUNCTION("""COMPUTED_VALUE"""),"ООО ""КОМПАНИЯ ""ЮТАЛ-ТРАНС""")</f>
        <v>ООО "КОМПАНИЯ "ЮТАЛ-ТРАНС"</v>
      </c>
      <c r="AA390" t="str">
        <f ca="1">IFERROR(__xludf.DUMMYFUNCTION("""COMPUTED_VALUE"""),"12-9790")</f>
        <v>12-9790</v>
      </c>
      <c r="AB390" t="str">
        <f ca="1">IFERROR(__xludf.DUMMYFUNCTION("""COMPUTED_VALUE"""),"35 ЛЬВ")</f>
        <v>35 ЛЬВ</v>
      </c>
      <c r="AC390" t="str">
        <f ca="1">IFERROR(__xludf.DUMMYFUNCTION("""COMPUTED_VALUE"""),"35570 КЛЕСОВ")</f>
        <v>35570 КЛЕСОВ</v>
      </c>
      <c r="AD390" t="str">
        <f ca="1">IFERROR(__xludf.DUMMYFUNCTION("""COMPUTED_VALUE"""),"16.06.21 11-20")</f>
        <v>16.06.21 11-20</v>
      </c>
      <c r="AE390" t="str">
        <f ca="1">IFERROR(__xludf.DUMMYFUNCTION("""COMPUTED_VALUE"""),"540 НEИCПPAВНOCТЬ ЗAПOPA ЛЮКA")</f>
        <v>540 НEИCПPAВНOCТЬ ЗAПOPA ЛЮКA</v>
      </c>
      <c r="AF390" t="str">
        <f ca="1">IFERROR(__xludf.DUMMYFUNCTION("""COMPUTED_VALUE"""),"35 ЛЬВ")</f>
        <v>35 ЛЬВ</v>
      </c>
      <c r="AG390" t="str">
        <f ca="1">IFERROR(__xludf.DUMMYFUNCTION("""COMPUTED_VALUE"""),"35570 КЛЕСОВ")</f>
        <v>35570 КЛЕСОВ</v>
      </c>
      <c r="AH390" t="str">
        <f ca="1">IFERROR(__xludf.DUMMYFUNCTION("""COMPUTED_VALUE"""),"21.06.21 15-00")</f>
        <v>21.06.21 15-00</v>
      </c>
      <c r="AI390" s="21">
        <f ca="1">IFERROR(__xludf.DUMMYFUNCTION("""COMPUTED_VALUE"""),44420.3576851851)</f>
        <v>44420.357685185103</v>
      </c>
    </row>
    <row r="391" spans="1:35" ht="13" x14ac:dyDescent="0.15">
      <c r="A391">
        <f ca="1">IFERROR(__xludf.DUMMYFUNCTION("""COMPUTED_VALUE"""),1329)</f>
        <v>1329</v>
      </c>
      <c r="B391" t="str">
        <f ca="1">IFERROR(__xludf.DUMMYFUNCTION("""COMPUTED_VALUE"""),"Лидер")</f>
        <v>Лидер</v>
      </c>
      <c r="C391" t="str">
        <f ca="1">IFERROR(__xludf.DUMMYFUNCTION("""COMPUTED_VALUE"""),"УТС")</f>
        <v>УТС</v>
      </c>
      <c r="D391">
        <f ca="1">IFERROR(__xludf.DUMMYFUNCTION("""COMPUTED_VALUE"""),60419884)</f>
        <v>60419884</v>
      </c>
      <c r="E391" t="str">
        <f ca="1">IFERROR(__xludf.DUMMYFUNCTION("""COMPUTED_VALUE"""),"60 ПОЛУВАГОНЫ")</f>
        <v>60 ПОЛУВАГОНЫ</v>
      </c>
      <c r="F391">
        <f ca="1">IFERROR(__xludf.DUMMYFUNCTION("""COMPUTED_VALUE"""),42103)</f>
        <v>42103</v>
      </c>
      <c r="G391" t="str">
        <f ca="1">IFERROR(__xludf.DUMMYFUNCTION("""COMPUTED_VALUE"""),"ВАГОНЫ ЖД СВ")</f>
        <v>ВАГОНЫ ЖД СВ</v>
      </c>
      <c r="H391">
        <f ca="1">IFERROR(__xludf.DUMMYFUNCTION("""COMPUTED_VALUE"""),0)</f>
        <v>0</v>
      </c>
      <c r="I391">
        <f ca="1">IFERROR(__xludf.DUMMYFUNCTION("""COMPUTED_VALUE"""),3437)</f>
        <v>3437</v>
      </c>
      <c r="J391" t="str">
        <f ca="1">IFERROR(__xludf.DUMMYFUNCTION("""COMPUTED_VALUE"""),"2511 (32000-595-34750) ДАРНИЦА - ПЕНИЗЕВИЧИ")</f>
        <v>2511 (32000-595-34750) ДАРНИЦА - ПЕНИЗЕВИЧИ</v>
      </c>
      <c r="K391">
        <f ca="1">IFERROR(__xludf.DUMMYFUNCTION("""COMPUTED_VALUE"""),34750)</f>
        <v>34750</v>
      </c>
      <c r="L391" t="str">
        <f ca="1">IFERROR(__xludf.DUMMYFUNCTION("""COMPUTED_VALUE"""),"ПЕНИЗЕВИЧИ")</f>
        <v>ПЕНИЗЕВИЧИ</v>
      </c>
      <c r="M391" t="str">
        <f ca="1">IFERROR(__xludf.DUMMYFUNCTION("""COMPUTED_VALUE"""),"12.08.21 07-50")</f>
        <v>12.08.21 07-50</v>
      </c>
      <c r="N391" t="str">
        <f ca="1">IFERROR(__xludf.DUMMYFUNCTION("""COMPUTED_VALUE"""),"98 ОТОТ")</f>
        <v>98 ОТОТ</v>
      </c>
      <c r="O391">
        <f ca="1">IFERROR(__xludf.DUMMYFUNCTION("""COMPUTED_VALUE"""),34750)</f>
        <v>34750</v>
      </c>
      <c r="P391" t="str">
        <f ca="1">IFERROR(__xludf.DUMMYFUNCTION("""COMPUTED_VALUE"""),"ПЕНИЗЕВИЧИ")</f>
        <v>ПЕНИЗЕВИЧИ</v>
      </c>
      <c r="Q391">
        <f ca="1">IFERROR(__xludf.DUMMYFUNCTION("""COMPUTED_VALUE"""),49870)</f>
        <v>49870</v>
      </c>
      <c r="R391" t="str">
        <f ca="1">IFERROR(__xludf.DUMMYFUNCTION("""COMPUTED_VALUE"""),"РУБЕЖНОЕ")</f>
        <v>РУБЕЖНОЕ</v>
      </c>
      <c r="S391" t="str">
        <f ca="1">IFERROR(__xludf.DUMMYFUNCTION("""COMPUTED_VALUE"""),"04.08.21 22-00")</f>
        <v>04.08.21 22-00</v>
      </c>
      <c r="T391">
        <f ca="1">IFERROR(__xludf.DUMMYFUNCTION("""COMPUTED_VALUE"""),2992)</f>
        <v>2992</v>
      </c>
      <c r="U391" t="str">
        <f ca="1">IFERROR(__xludf.DUMMYFUNCTION("""COMPUTED_VALUE"""),"20.06.2024 КР")</f>
        <v>20.06.2024 КР</v>
      </c>
      <c r="Z391" t="str">
        <f ca="1">IFERROR(__xludf.DUMMYFUNCTION("""COMPUTED_VALUE"""),"ООО «УТС»")</f>
        <v>ООО «УТС»</v>
      </c>
      <c r="AA391" t="str">
        <f ca="1">IFERROR(__xludf.DUMMYFUNCTION("""COMPUTED_VALUE"""),"12-9745")</f>
        <v>12-9745</v>
      </c>
      <c r="AB391" t="str">
        <f ca="1">IFERROR(__xludf.DUMMYFUNCTION("""COMPUTED_VALUE"""),"32 Ю-ЗАП")</f>
        <v>32 Ю-ЗАП</v>
      </c>
      <c r="AC391" t="str">
        <f ca="1">IFERROR(__xludf.DUMMYFUNCTION("""COMPUTED_VALUE"""),"33000 ЖМЕРИНКА")</f>
        <v>33000 ЖМЕРИНКА</v>
      </c>
      <c r="AD391" t="str">
        <f ca="1">IFERROR(__xludf.DUMMYFUNCTION("""COMPUTED_VALUE"""),"17.06.21 10-57")</f>
        <v>17.06.21 10-57</v>
      </c>
      <c r="AE391" t="str">
        <f ca="1">IFERROR(__xludf.DUMMYFUNCTION("""COMPUTED_VALUE"""),"570 ИCТEК КAЛЕНДАРНЫЙ CPOК ДEПOВCКОГО PEМOНТA")</f>
        <v>570 ИCТEК КAЛЕНДАРНЫЙ CPOК ДEПOВCКОГО PEМOНТA</v>
      </c>
      <c r="AF391" t="str">
        <f ca="1">IFERROR(__xludf.DUMMYFUNCTION("""COMPUTED_VALUE"""),"32 Ю-ЗАП")</f>
        <v>32 Ю-ЗАП</v>
      </c>
      <c r="AG391" t="str">
        <f ca="1">IFERROR(__xludf.DUMMYFUNCTION("""COMPUTED_VALUE"""),"33000 ЖМЕРИНКА")</f>
        <v>33000 ЖМЕРИНКА</v>
      </c>
      <c r="AH391" t="str">
        <f ca="1">IFERROR(__xludf.DUMMYFUNCTION("""COMPUTED_VALUE"""),"20.06.21 13-48")</f>
        <v>20.06.21 13-48</v>
      </c>
      <c r="AI391" s="21">
        <f ca="1">IFERROR(__xludf.DUMMYFUNCTION("""COMPUTED_VALUE"""),44420.3576851851)</f>
        <v>44420.357685185103</v>
      </c>
    </row>
    <row r="392" spans="1:35" ht="13" x14ac:dyDescent="0.15">
      <c r="A392">
        <f ca="1">IFERROR(__xludf.DUMMYFUNCTION("""COMPUTED_VALUE"""),1330)</f>
        <v>1330</v>
      </c>
      <c r="B392" t="str">
        <f ca="1">IFERROR(__xludf.DUMMYFUNCTION("""COMPUTED_VALUE"""),"Лидер")</f>
        <v>Лидер</v>
      </c>
      <c r="C392" t="str">
        <f ca="1">IFERROR(__xludf.DUMMYFUNCTION("""COMPUTED_VALUE"""),"УТС")</f>
        <v>УТС</v>
      </c>
      <c r="D392">
        <f ca="1">IFERROR(__xludf.DUMMYFUNCTION("""COMPUTED_VALUE"""),60632247)</f>
        <v>60632247</v>
      </c>
      <c r="E392" t="str">
        <f ca="1">IFERROR(__xludf.DUMMYFUNCTION("""COMPUTED_VALUE"""),"60 ПОЛУВАГОНЫ")</f>
        <v>60 ПОЛУВАГОНЫ</v>
      </c>
      <c r="F392">
        <f ca="1">IFERROR(__xludf.DUMMYFUNCTION("""COMPUTED_VALUE"""),42103)</f>
        <v>42103</v>
      </c>
      <c r="G392" t="str">
        <f ca="1">IFERROR(__xludf.DUMMYFUNCTION("""COMPUTED_VALUE"""),"ВАГОНЫ ЖД СВ")</f>
        <v>ВАГОНЫ ЖД СВ</v>
      </c>
      <c r="H392">
        <f ca="1">IFERROR(__xludf.DUMMYFUNCTION("""COMPUTED_VALUE"""),0)</f>
        <v>0</v>
      </c>
      <c r="I392">
        <f ca="1">IFERROR(__xludf.DUMMYFUNCTION("""COMPUTED_VALUE"""),5057)</f>
        <v>5057</v>
      </c>
      <c r="J392" t="str">
        <f ca="1">IFERROR(__xludf.DUMMYFUNCTION("""COMPUTED_VALUE"""),"1111 (44560-110-44020) БАСЫ - ОСНОВА")</f>
        <v>1111 (44560-110-44020) БАСЫ - ОСНОВА</v>
      </c>
      <c r="K392">
        <f ca="1">IFERROR(__xludf.DUMMYFUNCTION("""COMPUTED_VALUE"""),44560)</f>
        <v>44560</v>
      </c>
      <c r="L392" t="str">
        <f ca="1">IFERROR(__xludf.DUMMYFUNCTION("""COMPUTED_VALUE"""),"БАСЫ")</f>
        <v>БАСЫ</v>
      </c>
      <c r="M392" t="str">
        <f ca="1">IFERROR(__xludf.DUMMYFUNCTION("""COMPUTED_VALUE"""),"12.08.21 06-02")</f>
        <v>12.08.21 06-02</v>
      </c>
      <c r="N392" t="str">
        <f ca="1">IFERROR(__xludf.DUMMYFUNCTION("""COMPUTED_VALUE"""),"05 ФОРМ")</f>
        <v>05 ФОРМ</v>
      </c>
      <c r="O392">
        <f ca="1">IFERROR(__xludf.DUMMYFUNCTION("""COMPUTED_VALUE"""),42790)</f>
        <v>42790</v>
      </c>
      <c r="P392" t="str">
        <f ca="1">IFERROR(__xludf.DUMMYFUNCTION("""COMPUTED_VALUE"""),"ЛЕВОБЕРЕЖНАЯ")</f>
        <v>ЛЕВОБЕРЕЖНАЯ</v>
      </c>
      <c r="Q392">
        <f ca="1">IFERROR(__xludf.DUMMYFUNCTION("""COMPUTED_VALUE"""),44520)</f>
        <v>44520</v>
      </c>
      <c r="R392" t="str">
        <f ca="1">IFERROR(__xludf.DUMMYFUNCTION("""COMPUTED_VALUE"""),"ТОРОПИЛОВКА")</f>
        <v>ТОРОПИЛОВКА</v>
      </c>
      <c r="S392" t="str">
        <f ca="1">IFERROR(__xludf.DUMMYFUNCTION("""COMPUTED_VALUE"""),"11.08.21 12-20")</f>
        <v>11.08.21 12-20</v>
      </c>
      <c r="T392">
        <f ca="1">IFERROR(__xludf.DUMMYFUNCTION("""COMPUTED_VALUE"""),2155)</f>
        <v>2155</v>
      </c>
      <c r="U392" t="str">
        <f ca="1">IFERROR(__xludf.DUMMYFUNCTION("""COMPUTED_VALUE"""),"18.07.2024 КР")</f>
        <v>18.07.2024 КР</v>
      </c>
      <c r="Z392" t="str">
        <f ca="1">IFERROR(__xludf.DUMMYFUNCTION("""COMPUTED_VALUE"""),"ООО «УТС»")</f>
        <v>ООО «УТС»</v>
      </c>
      <c r="AA392" t="str">
        <f ca="1">IFERROR(__xludf.DUMMYFUNCTION("""COMPUTED_VALUE"""),"12-9745")</f>
        <v>12-9745</v>
      </c>
      <c r="AB392" t="str">
        <f ca="1">IFERROR(__xludf.DUMMYFUNCTION("""COMPUTED_VALUE"""),"32 Ю-ЗАП")</f>
        <v>32 Ю-ЗАП</v>
      </c>
      <c r="AC392" t="str">
        <f ca="1">IFERROR(__xludf.DUMMYFUNCTION("""COMPUTED_VALUE"""),"33000 ЖМЕРИНКА")</f>
        <v>33000 ЖМЕРИНКА</v>
      </c>
      <c r="AD392" t="str">
        <f ca="1">IFERROR(__xludf.DUMMYFUNCTION("""COMPUTED_VALUE"""),"13.07.21 10-38")</f>
        <v>13.07.21 10-38</v>
      </c>
      <c r="AE392" t="str">
        <f ca="1">IFERROR(__xludf.DUMMYFUNCTION("""COMPUTED_VALUE"""),"570 ИCТEК КAЛЕНДАРНЫЙ CPOК ДEПOВCКОГО PEМOНТA")</f>
        <v>570 ИCТEК КAЛЕНДАРНЫЙ CPOК ДEПOВCКОГО PEМOНТA</v>
      </c>
      <c r="AF392" t="str">
        <f ca="1">IFERROR(__xludf.DUMMYFUNCTION("""COMPUTED_VALUE"""),"32 Ю-ЗАП")</f>
        <v>32 Ю-ЗАП</v>
      </c>
      <c r="AG392" t="str">
        <f ca="1">IFERROR(__xludf.DUMMYFUNCTION("""COMPUTED_VALUE"""),"33000 ЖМЕРИНКА")</f>
        <v>33000 ЖМЕРИНКА</v>
      </c>
      <c r="AH392" t="str">
        <f ca="1">IFERROR(__xludf.DUMMYFUNCTION("""COMPUTED_VALUE"""),"18.07.21 15-23")</f>
        <v>18.07.21 15-23</v>
      </c>
      <c r="AI392" s="21">
        <f ca="1">IFERROR(__xludf.DUMMYFUNCTION("""COMPUTED_VALUE"""),44420.3576851851)</f>
        <v>44420.357685185103</v>
      </c>
    </row>
    <row r="393" spans="1:35" ht="13" x14ac:dyDescent="0.15">
      <c r="A393">
        <f ca="1">IFERROR(__xludf.DUMMYFUNCTION("""COMPUTED_VALUE"""),1331)</f>
        <v>1331</v>
      </c>
      <c r="B393" t="str">
        <f ca="1">IFERROR(__xludf.DUMMYFUNCTION("""COMPUTED_VALUE"""),"Лидер")</f>
        <v>Лидер</v>
      </c>
      <c r="C393" t="str">
        <f ca="1">IFERROR(__xludf.DUMMYFUNCTION("""COMPUTED_VALUE"""),"УТС")</f>
        <v>УТС</v>
      </c>
      <c r="D393">
        <f ca="1">IFERROR(__xludf.DUMMYFUNCTION("""COMPUTED_VALUE"""),60418944)</f>
        <v>60418944</v>
      </c>
      <c r="E393" t="str">
        <f ca="1">IFERROR(__xludf.DUMMYFUNCTION("""COMPUTED_VALUE"""),"60 ПОЛУВАГОНЫ")</f>
        <v>60 ПОЛУВАГОНЫ</v>
      </c>
      <c r="F393">
        <f ca="1">IFERROR(__xludf.DUMMYFUNCTION("""COMPUTED_VALUE"""),42103)</f>
        <v>42103</v>
      </c>
      <c r="G393" t="str">
        <f ca="1">IFERROR(__xludf.DUMMYFUNCTION("""COMPUTED_VALUE"""),"ВАГОНЫ ЖД СВ")</f>
        <v>ВАГОНЫ ЖД СВ</v>
      </c>
      <c r="H393">
        <f ca="1">IFERROR(__xludf.DUMMYFUNCTION("""COMPUTED_VALUE"""),0)</f>
        <v>0</v>
      </c>
      <c r="I393">
        <f ca="1">IFERROR(__xludf.DUMMYFUNCTION("""COMPUTED_VALUE"""),5057)</f>
        <v>5057</v>
      </c>
      <c r="J393" t="str">
        <f ca="1">IFERROR(__xludf.DUMMYFUNCTION("""COMPUTED_VALUE"""),"1111 (44560-110-44020) БАСЫ - ОСНОВА")</f>
        <v>1111 (44560-110-44020) БАСЫ - ОСНОВА</v>
      </c>
      <c r="K393">
        <f ca="1">IFERROR(__xludf.DUMMYFUNCTION("""COMPUTED_VALUE"""),44560)</f>
        <v>44560</v>
      </c>
      <c r="L393" t="str">
        <f ca="1">IFERROR(__xludf.DUMMYFUNCTION("""COMPUTED_VALUE"""),"БАСЫ")</f>
        <v>БАСЫ</v>
      </c>
      <c r="M393" t="str">
        <f ca="1">IFERROR(__xludf.DUMMYFUNCTION("""COMPUTED_VALUE"""),"12.08.21 06-02")</f>
        <v>12.08.21 06-02</v>
      </c>
      <c r="N393" t="str">
        <f ca="1">IFERROR(__xludf.DUMMYFUNCTION("""COMPUTED_VALUE"""),"05 ФОРМ")</f>
        <v>05 ФОРМ</v>
      </c>
      <c r="O393">
        <f ca="1">IFERROR(__xludf.DUMMYFUNCTION("""COMPUTED_VALUE"""),42790)</f>
        <v>42790</v>
      </c>
      <c r="P393" t="str">
        <f ca="1">IFERROR(__xludf.DUMMYFUNCTION("""COMPUTED_VALUE"""),"ЛЕВОБЕРЕЖНАЯ")</f>
        <v>ЛЕВОБЕРЕЖНАЯ</v>
      </c>
      <c r="Q393">
        <f ca="1">IFERROR(__xludf.DUMMYFUNCTION("""COMPUTED_VALUE"""),44520)</f>
        <v>44520</v>
      </c>
      <c r="R393" t="str">
        <f ca="1">IFERROR(__xludf.DUMMYFUNCTION("""COMPUTED_VALUE"""),"ТОРОПИЛОВКА")</f>
        <v>ТОРОПИЛОВКА</v>
      </c>
      <c r="S393" t="str">
        <f ca="1">IFERROR(__xludf.DUMMYFUNCTION("""COMPUTED_VALUE"""),"11.08.21 12-20")</f>
        <v>11.08.21 12-20</v>
      </c>
      <c r="T393">
        <f ca="1">IFERROR(__xludf.DUMMYFUNCTION("""COMPUTED_VALUE"""),2155)</f>
        <v>2155</v>
      </c>
      <c r="U393" t="str">
        <f ca="1">IFERROR(__xludf.DUMMYFUNCTION("""COMPUTED_VALUE"""),"18.07.2024 КР")</f>
        <v>18.07.2024 КР</v>
      </c>
      <c r="Z393" t="str">
        <f ca="1">IFERROR(__xludf.DUMMYFUNCTION("""COMPUTED_VALUE"""),"ООО «УТС»")</f>
        <v>ООО «УТС»</v>
      </c>
      <c r="AA393" t="str">
        <f ca="1">IFERROR(__xludf.DUMMYFUNCTION("""COMPUTED_VALUE"""),"12-9745")</f>
        <v>12-9745</v>
      </c>
      <c r="AB393" t="str">
        <f ca="1">IFERROR(__xludf.DUMMYFUNCTION("""COMPUTED_VALUE"""),"32 Ю-ЗАП")</f>
        <v>32 Ю-ЗАП</v>
      </c>
      <c r="AC393" t="str">
        <f ca="1">IFERROR(__xludf.DUMMYFUNCTION("""COMPUTED_VALUE"""),"33000 ЖМЕРИНКА")</f>
        <v>33000 ЖМЕРИНКА</v>
      </c>
      <c r="AD393" t="str">
        <f ca="1">IFERROR(__xludf.DUMMYFUNCTION("""COMPUTED_VALUE"""),"12.07.21 16-25")</f>
        <v>12.07.21 16-25</v>
      </c>
      <c r="AE393" t="str">
        <f ca="1">IFERROR(__xludf.DUMMYFUNCTION("""COMPUTED_VALUE"""),"570 ИCТEК КAЛЕНДАРНЫЙ CPOК ДEПOВCКОГО PEМOНТA")</f>
        <v>570 ИCТEК КAЛЕНДАРНЫЙ CPOК ДEПOВCКОГО PEМOНТA</v>
      </c>
      <c r="AF393" t="str">
        <f ca="1">IFERROR(__xludf.DUMMYFUNCTION("""COMPUTED_VALUE"""),"32 Ю-ЗАП")</f>
        <v>32 Ю-ЗАП</v>
      </c>
      <c r="AG393" t="str">
        <f ca="1">IFERROR(__xludf.DUMMYFUNCTION("""COMPUTED_VALUE"""),"33000 ЖМЕРИНКА")</f>
        <v>33000 ЖМЕРИНКА</v>
      </c>
      <c r="AH393" t="str">
        <f ca="1">IFERROR(__xludf.DUMMYFUNCTION("""COMPUTED_VALUE"""),"18.07.21 15-25")</f>
        <v>18.07.21 15-25</v>
      </c>
      <c r="AI393" s="21">
        <f ca="1">IFERROR(__xludf.DUMMYFUNCTION("""COMPUTED_VALUE"""),44420.3576851851)</f>
        <v>44420.357685185103</v>
      </c>
    </row>
    <row r="394" spans="1:35" ht="13" x14ac:dyDescent="0.15">
      <c r="A394">
        <f ca="1">IFERROR(__xludf.DUMMYFUNCTION("""COMPUTED_VALUE"""),1332)</f>
        <v>1332</v>
      </c>
      <c r="B394" t="str">
        <f ca="1">IFERROR(__xludf.DUMMYFUNCTION("""COMPUTED_VALUE"""),"Лидер")</f>
        <v>Лидер</v>
      </c>
      <c r="C394" t="str">
        <f ca="1">IFERROR(__xludf.DUMMYFUNCTION("""COMPUTED_VALUE"""),"УТС")</f>
        <v>УТС</v>
      </c>
      <c r="D394">
        <f ca="1">IFERROR(__xludf.DUMMYFUNCTION("""COMPUTED_VALUE"""),60633633)</f>
        <v>60633633</v>
      </c>
      <c r="E394" t="str">
        <f ca="1">IFERROR(__xludf.DUMMYFUNCTION("""COMPUTED_VALUE"""),"60 ПОЛУВАГОНЫ")</f>
        <v>60 ПОЛУВАГОНЫ</v>
      </c>
      <c r="F394">
        <f ca="1">IFERROR(__xludf.DUMMYFUNCTION("""COMPUTED_VALUE"""),23239)</f>
        <v>23239</v>
      </c>
      <c r="G394" t="str">
        <f ca="1">IFERROR(__xludf.DUMMYFUNCTION("""COMPUTED_VALUE"""),"ЩЕБЕНЬ ГРАНИТ")</f>
        <v>ЩЕБЕНЬ ГРАНИТ</v>
      </c>
      <c r="H394">
        <f ca="1">IFERROR(__xludf.DUMMYFUNCTION("""COMPUTED_VALUE"""),70)</f>
        <v>70</v>
      </c>
      <c r="I394">
        <f ca="1">IFERROR(__xludf.DUMMYFUNCTION("""COMPUTED_VALUE"""),5133)</f>
        <v>5133</v>
      </c>
      <c r="J394" t="str">
        <f ca="1">IFERROR(__xludf.DUMMYFUNCTION("""COMPUTED_VALUE"""),"3412 (37980-036-36000) КРАСНЕ - ТЕРНОПОЛЬ")</f>
        <v>3412 (37980-036-36000) КРАСНЕ - ТЕРНОПОЛЬ</v>
      </c>
      <c r="K394">
        <f ca="1">IFERROR(__xludf.DUMMYFUNCTION("""COMPUTED_VALUE"""),36000)</f>
        <v>36000</v>
      </c>
      <c r="L394" t="str">
        <f ca="1">IFERROR(__xludf.DUMMYFUNCTION("""COMPUTED_VALUE"""),"ТЕРНОПОЛЬ")</f>
        <v>ТЕРНОПОЛЬ</v>
      </c>
      <c r="M394" t="str">
        <f ca="1">IFERROR(__xludf.DUMMYFUNCTION("""COMPUTED_VALUE"""),"11.08.21 04-40")</f>
        <v>11.08.21 04-40</v>
      </c>
      <c r="N394" t="str">
        <f ca="1">IFERROR(__xludf.DUMMYFUNCTION("""COMPUTED_VALUE"""),"01 ПРИБ")</f>
        <v>01 ПРИБ</v>
      </c>
      <c r="O394">
        <f ca="1">IFERROR(__xludf.DUMMYFUNCTION("""COMPUTED_VALUE"""),36240)</f>
        <v>36240</v>
      </c>
      <c r="P394" t="str">
        <f ca="1">IFERROR(__xludf.DUMMYFUNCTION("""COMPUTED_VALUE"""),"КОЗОВА")</f>
        <v>КОЗОВА</v>
      </c>
      <c r="Q394">
        <f ca="1">IFERROR(__xludf.DUMMYFUNCTION("""COMPUTED_VALUE"""),34850)</f>
        <v>34850</v>
      </c>
      <c r="R394" t="str">
        <f ca="1">IFERROR(__xludf.DUMMYFUNCTION("""COMPUTED_VALUE"""),"УШИЦА")</f>
        <v>УШИЦА</v>
      </c>
      <c r="S394" t="str">
        <f ca="1">IFERROR(__xludf.DUMMYFUNCTION("""COMPUTED_VALUE"""),"08.08.21 19-35")</f>
        <v>08.08.21 19-35</v>
      </c>
      <c r="T394">
        <f ca="1">IFERROR(__xludf.DUMMYFUNCTION("""COMPUTED_VALUE"""),7052)</f>
        <v>7052</v>
      </c>
      <c r="U394" t="str">
        <f ca="1">IFERROR(__xludf.DUMMYFUNCTION("""COMPUTED_VALUE"""),"19.07.2024 КР")</f>
        <v>19.07.2024 КР</v>
      </c>
      <c r="Z394" t="str">
        <f ca="1">IFERROR(__xludf.DUMMYFUNCTION("""COMPUTED_VALUE"""),"ООО «УТС»")</f>
        <v>ООО «УТС»</v>
      </c>
      <c r="AA394" t="str">
        <f ca="1">IFERROR(__xludf.DUMMYFUNCTION("""COMPUTED_VALUE"""),"12-9745")</f>
        <v>12-9745</v>
      </c>
      <c r="AB394" t="str">
        <f ca="1">IFERROR(__xludf.DUMMYFUNCTION("""COMPUTED_VALUE"""),"32 Ю-ЗАП")</f>
        <v>32 Ю-ЗАП</v>
      </c>
      <c r="AC394" t="str">
        <f ca="1">IFERROR(__xludf.DUMMYFUNCTION("""COMPUTED_VALUE"""),"33000 ЖМЕРИНКА")</f>
        <v>33000 ЖМЕРИНКА</v>
      </c>
      <c r="AD394" t="str">
        <f ca="1">IFERROR(__xludf.DUMMYFUNCTION("""COMPUTED_VALUE"""),"13.07.21 10-35")</f>
        <v>13.07.21 10-35</v>
      </c>
      <c r="AE394" t="str">
        <f ca="1">IFERROR(__xludf.DUMMYFUNCTION("""COMPUTED_VALUE"""),"570 ИCТEК КAЛЕНДАРНЫЙ CPOК ДEПOВCКОГО PEМOНТA")</f>
        <v>570 ИCТEК КAЛЕНДАРНЫЙ CPOК ДEПOВCКОГО PEМOНТA</v>
      </c>
      <c r="AF394" t="str">
        <f ca="1">IFERROR(__xludf.DUMMYFUNCTION("""COMPUTED_VALUE"""),"32 Ю-ЗАП")</f>
        <v>32 Ю-ЗАП</v>
      </c>
      <c r="AG394" t="str">
        <f ca="1">IFERROR(__xludf.DUMMYFUNCTION("""COMPUTED_VALUE"""),"33000 ЖМЕРИНКА")</f>
        <v>33000 ЖМЕРИНКА</v>
      </c>
      <c r="AH394" t="str">
        <f ca="1">IFERROR(__xludf.DUMMYFUNCTION("""COMPUTED_VALUE"""),"19.07.21 14-56")</f>
        <v>19.07.21 14-56</v>
      </c>
      <c r="AI394" s="21">
        <f ca="1">IFERROR(__xludf.DUMMYFUNCTION("""COMPUTED_VALUE"""),44420.3576851851)</f>
        <v>44420.357685185103</v>
      </c>
    </row>
    <row r="395" spans="1:35" ht="13" x14ac:dyDescent="0.15">
      <c r="A395">
        <f ca="1">IFERROR(__xludf.DUMMYFUNCTION("""COMPUTED_VALUE"""),1333)</f>
        <v>1333</v>
      </c>
      <c r="B395" t="str">
        <f ca="1">IFERROR(__xludf.DUMMYFUNCTION("""COMPUTED_VALUE"""),"Лидер")</f>
        <v>Лидер</v>
      </c>
      <c r="C395" t="str">
        <f ca="1">IFERROR(__xludf.DUMMYFUNCTION("""COMPUTED_VALUE"""),"УТС")</f>
        <v>УТС</v>
      </c>
      <c r="D395">
        <f ca="1">IFERROR(__xludf.DUMMYFUNCTION("""COMPUTED_VALUE"""),60632106)</f>
        <v>60632106</v>
      </c>
      <c r="E395" t="str">
        <f ca="1">IFERROR(__xludf.DUMMYFUNCTION("""COMPUTED_VALUE"""),"60 ПОЛУВАГОНЫ")</f>
        <v>60 ПОЛУВАГОНЫ</v>
      </c>
      <c r="F395">
        <f ca="1">IFERROR(__xludf.DUMMYFUNCTION("""COMPUTED_VALUE"""),42119)</f>
        <v>42119</v>
      </c>
      <c r="G395" t="str">
        <f ca="1">IFERROR(__xludf.DUMMYFUNCTION("""COMPUTED_VALUE"""),"ВАГОНЫ ЖД РЕМОН")</f>
        <v>ВАГОНЫ ЖД РЕМОН</v>
      </c>
      <c r="H395">
        <f ca="1">IFERROR(__xludf.DUMMYFUNCTION("""COMPUTED_VALUE"""),0)</f>
        <v>0</v>
      </c>
      <c r="I395">
        <f ca="1">IFERROR(__xludf.DUMMYFUNCTION("""COMPUTED_VALUE"""),7052)</f>
        <v>7052</v>
      </c>
      <c r="J395" t="str">
        <f ca="1">IFERROR(__xludf.DUMMYFUNCTION("""COMPUTED_VALUE"""),"5555 (34000-791-00010) ШЕПЕТОВКА -")</f>
        <v>5555 (34000-791-00010) ШЕПЕТОВКА -</v>
      </c>
      <c r="K395">
        <f ca="1">IFERROR(__xludf.DUMMYFUNCTION("""COMPUTED_VALUE"""),34850)</f>
        <v>34850</v>
      </c>
      <c r="L395" t="str">
        <f ca="1">IFERROR(__xludf.DUMMYFUNCTION("""COMPUTED_VALUE"""),"УШИЦА")</f>
        <v>УШИЦА</v>
      </c>
      <c r="M395" t="str">
        <f ca="1">IFERROR(__xludf.DUMMYFUNCTION("""COMPUTED_VALUE"""),"12.08.21 03-10")</f>
        <v>12.08.21 03-10</v>
      </c>
      <c r="N395" t="str">
        <f ca="1">IFERROR(__xludf.DUMMYFUNCTION("""COMPUTED_VALUE"""),"98 ОТОТ")</f>
        <v>98 ОТОТ</v>
      </c>
      <c r="O395">
        <f ca="1">IFERROR(__xludf.DUMMYFUNCTION("""COMPUTED_VALUE"""),34850)</f>
        <v>34850</v>
      </c>
      <c r="P395" t="str">
        <f ca="1">IFERROR(__xludf.DUMMYFUNCTION("""COMPUTED_VALUE"""),"УШИЦА")</f>
        <v>УШИЦА</v>
      </c>
      <c r="Q395">
        <f ca="1">IFERROR(__xludf.DUMMYFUNCTION("""COMPUTED_VALUE"""),33000)</f>
        <v>33000</v>
      </c>
      <c r="R395" t="str">
        <f ca="1">IFERROR(__xludf.DUMMYFUNCTION("""COMPUTED_VALUE"""),"ЖМЕРИНКА")</f>
        <v>ЖМЕРИНКА</v>
      </c>
      <c r="S395" t="str">
        <f ca="1">IFERROR(__xludf.DUMMYFUNCTION("""COMPUTED_VALUE"""),"07.08.21 05-55")</f>
        <v>07.08.21 05-55</v>
      </c>
      <c r="T395">
        <f ca="1">IFERROR(__xludf.DUMMYFUNCTION("""COMPUTED_VALUE"""),1426)</f>
        <v>1426</v>
      </c>
      <c r="U395" t="str">
        <f ca="1">IFERROR(__xludf.DUMMYFUNCTION("""COMPUTED_VALUE"""),"04.08.2024 КР")</f>
        <v>04.08.2024 КР</v>
      </c>
      <c r="Z395" t="str">
        <f ca="1">IFERROR(__xludf.DUMMYFUNCTION("""COMPUTED_VALUE"""),"ООО «УТС»")</f>
        <v>ООО «УТС»</v>
      </c>
      <c r="AA395" t="str">
        <f ca="1">IFERROR(__xludf.DUMMYFUNCTION("""COMPUTED_VALUE"""),"12-9745")</f>
        <v>12-9745</v>
      </c>
      <c r="AB395" t="str">
        <f ca="1">IFERROR(__xludf.DUMMYFUNCTION("""COMPUTED_VALUE"""),"32 Ю-ЗАП")</f>
        <v>32 Ю-ЗАП</v>
      </c>
      <c r="AC395" t="str">
        <f ca="1">IFERROR(__xludf.DUMMYFUNCTION("""COMPUTED_VALUE"""),"33000 ЖМЕРИНКА")</f>
        <v>33000 ЖМЕРИНКА</v>
      </c>
      <c r="AD395" t="str">
        <f ca="1">IFERROR(__xludf.DUMMYFUNCTION("""COMPUTED_VALUE"""),"29.07.21 11-46")</f>
        <v>29.07.21 11-46</v>
      </c>
      <c r="AE395" t="str">
        <f ca="1">IFERROR(__xludf.DUMMYFUNCTION("""COMPUTED_VALUE"""),"570 ИCТEК КAЛЕНДАРНЫЙ CPOК ДEПOВCКОГО PEМOНТA")</f>
        <v>570 ИCТEК КAЛЕНДАРНЫЙ CPOК ДEПOВCКОГО PEМOНТA</v>
      </c>
      <c r="AF395" t="str">
        <f ca="1">IFERROR(__xludf.DUMMYFUNCTION("""COMPUTED_VALUE"""),"32 Ю-ЗАП")</f>
        <v>32 Ю-ЗАП</v>
      </c>
      <c r="AG395" t="str">
        <f ca="1">IFERROR(__xludf.DUMMYFUNCTION("""COMPUTED_VALUE"""),"33000 ЖМЕРИНКА")</f>
        <v>33000 ЖМЕРИНКА</v>
      </c>
      <c r="AH395" t="str">
        <f ca="1">IFERROR(__xludf.DUMMYFUNCTION("""COMPUTED_VALUE"""),"04.08.21 11-07")</f>
        <v>04.08.21 11-07</v>
      </c>
      <c r="AI395" s="21">
        <f ca="1">IFERROR(__xludf.DUMMYFUNCTION("""COMPUTED_VALUE"""),44420.3576851851)</f>
        <v>44420.357685185103</v>
      </c>
    </row>
    <row r="396" spans="1:35" ht="13" x14ac:dyDescent="0.15">
      <c r="A396">
        <f ca="1">IFERROR(__xludf.DUMMYFUNCTION("""COMPUTED_VALUE"""),1334)</f>
        <v>1334</v>
      </c>
      <c r="B396" t="str">
        <f ca="1">IFERROR(__xludf.DUMMYFUNCTION("""COMPUTED_VALUE"""),"Лидер")</f>
        <v>Лидер</v>
      </c>
      <c r="C396" t="str">
        <f ca="1">IFERROR(__xludf.DUMMYFUNCTION("""COMPUTED_VALUE"""),"УТС")</f>
        <v>УТС</v>
      </c>
      <c r="D396">
        <f ca="1">IFERROR(__xludf.DUMMYFUNCTION("""COMPUTED_VALUE"""),60632767)</f>
        <v>60632767</v>
      </c>
      <c r="E396" t="str">
        <f ca="1">IFERROR(__xludf.DUMMYFUNCTION("""COMPUTED_VALUE"""),"60 ПОЛУВАГОНЫ")</f>
        <v>60 ПОЛУВАГОНЫ</v>
      </c>
      <c r="F396">
        <f ca="1">IFERROR(__xludf.DUMMYFUNCTION("""COMPUTED_VALUE"""),23239)</f>
        <v>23239</v>
      </c>
      <c r="G396" t="str">
        <f ca="1">IFERROR(__xludf.DUMMYFUNCTION("""COMPUTED_VALUE"""),"ЩЕБЕНЬ ГРАНИТ")</f>
        <v>ЩЕБЕНЬ ГРАНИТ</v>
      </c>
      <c r="H396">
        <f ca="1">IFERROR(__xludf.DUMMYFUNCTION("""COMPUTED_VALUE"""),70)</f>
        <v>70</v>
      </c>
      <c r="I396">
        <f ca="1">IFERROR(__xludf.DUMMYFUNCTION("""COMPUTED_VALUE"""),5133)</f>
        <v>5133</v>
      </c>
      <c r="J396" t="str">
        <f ca="1">IFERROR(__xludf.DUMMYFUNCTION("""COMPUTED_VALUE"""),"3893 (36000-061-36240) ТЕРНОПОЛЬ - КОЗОВА")</f>
        <v>3893 (36000-061-36240) ТЕРНОПОЛЬ - КОЗОВА</v>
      </c>
      <c r="K396">
        <f ca="1">IFERROR(__xludf.DUMMYFUNCTION("""COMPUTED_VALUE"""),36240)</f>
        <v>36240</v>
      </c>
      <c r="L396" t="str">
        <f ca="1">IFERROR(__xludf.DUMMYFUNCTION("""COMPUTED_VALUE"""),"КОЗОВА")</f>
        <v>КОЗОВА</v>
      </c>
      <c r="M396" t="str">
        <f ca="1">IFERROR(__xludf.DUMMYFUNCTION("""COMPUTED_VALUE"""),"11.08.21 21-00")</f>
        <v>11.08.21 21-00</v>
      </c>
      <c r="N396" t="str">
        <f ca="1">IFERROR(__xludf.DUMMYFUNCTION("""COMPUTED_VALUE"""),"04 РАСФ")</f>
        <v>04 РАСФ</v>
      </c>
      <c r="O396">
        <f ca="1">IFERROR(__xludf.DUMMYFUNCTION("""COMPUTED_VALUE"""),36240)</f>
        <v>36240</v>
      </c>
      <c r="P396" t="str">
        <f ca="1">IFERROR(__xludf.DUMMYFUNCTION("""COMPUTED_VALUE"""),"КОЗОВА")</f>
        <v>КОЗОВА</v>
      </c>
      <c r="Q396">
        <f ca="1">IFERROR(__xludf.DUMMYFUNCTION("""COMPUTED_VALUE"""),34850)</f>
        <v>34850</v>
      </c>
      <c r="R396" t="str">
        <f ca="1">IFERROR(__xludf.DUMMYFUNCTION("""COMPUTED_VALUE"""),"УШИЦА")</f>
        <v>УШИЦА</v>
      </c>
      <c r="S396" t="str">
        <f ca="1">IFERROR(__xludf.DUMMYFUNCTION("""COMPUTED_VALUE"""),"08.08.21 14-40")</f>
        <v>08.08.21 14-40</v>
      </c>
      <c r="T396">
        <f ca="1">IFERROR(__xludf.DUMMYFUNCTION("""COMPUTED_VALUE"""),7052)</f>
        <v>7052</v>
      </c>
      <c r="U396" t="str">
        <f ca="1">IFERROR(__xludf.DUMMYFUNCTION("""COMPUTED_VALUE"""),"19.09.2021 ДР")</f>
        <v>19.09.2021 ДР</v>
      </c>
      <c r="Z396" t="str">
        <f ca="1">IFERROR(__xludf.DUMMYFUNCTION("""COMPUTED_VALUE"""),"ООО «УТС»")</f>
        <v>ООО «УТС»</v>
      </c>
      <c r="AA396" t="str">
        <f ca="1">IFERROR(__xludf.DUMMYFUNCTION("""COMPUTED_VALUE"""),"12-9745")</f>
        <v>12-9745</v>
      </c>
      <c r="AB396" t="str">
        <f ca="1">IFERROR(__xludf.DUMMYFUNCTION("""COMPUTED_VALUE"""),"32 Ю-ЗАП")</f>
        <v>32 Ю-ЗАП</v>
      </c>
      <c r="AC396" t="str">
        <f ca="1">IFERROR(__xludf.DUMMYFUNCTION("""COMPUTED_VALUE"""),"34800 НОВОГР-ВОЛ I")</f>
        <v>34800 НОВОГР-ВОЛ I</v>
      </c>
      <c r="AD396" t="str">
        <f ca="1">IFERROR(__xludf.DUMMYFUNCTION("""COMPUTED_VALUE"""),"29.04.21 17-55")</f>
        <v>29.04.21 17-55</v>
      </c>
      <c r="AE396" t="str">
        <f ca="1">IFERROR(__xludf.DUMMYFUNCTION("""COMPUTED_VALUE"""),"540 НEИCПPAВНOCТЬ ЗAПOPA ЛЮКA")</f>
        <v>540 НEИCПPAВНOCТЬ ЗAПOPA ЛЮКA</v>
      </c>
      <c r="AF396" t="str">
        <f ca="1">IFERROR(__xludf.DUMMYFUNCTION("""COMPUTED_VALUE"""),"32 Ю-ЗАП")</f>
        <v>32 Ю-ЗАП</v>
      </c>
      <c r="AG396" t="str">
        <f ca="1">IFERROR(__xludf.DUMMYFUNCTION("""COMPUTED_VALUE"""),"34800 НОВОГР-ВОЛ I")</f>
        <v>34800 НОВОГР-ВОЛ I</v>
      </c>
      <c r="AH396" t="str">
        <f ca="1">IFERROR(__xludf.DUMMYFUNCTION("""COMPUTED_VALUE"""),"30.04.21 15-00")</f>
        <v>30.04.21 15-00</v>
      </c>
      <c r="AI396" s="21">
        <f ca="1">IFERROR(__xludf.DUMMYFUNCTION("""COMPUTED_VALUE"""),44420.3576851851)</f>
        <v>44420.357685185103</v>
      </c>
    </row>
    <row r="397" spans="1:35" ht="13" x14ac:dyDescent="0.15">
      <c r="A397">
        <f ca="1">IFERROR(__xludf.DUMMYFUNCTION("""COMPUTED_VALUE"""),1335)</f>
        <v>1335</v>
      </c>
      <c r="B397" t="str">
        <f ca="1">IFERROR(__xludf.DUMMYFUNCTION("""COMPUTED_VALUE"""),"Лидер")</f>
        <v>Лидер</v>
      </c>
      <c r="C397" t="str">
        <f ca="1">IFERROR(__xludf.DUMMYFUNCTION("""COMPUTED_VALUE"""),"УТС")</f>
        <v>УТС</v>
      </c>
      <c r="D397">
        <f ca="1">IFERROR(__xludf.DUMMYFUNCTION("""COMPUTED_VALUE"""),60633161)</f>
        <v>60633161</v>
      </c>
      <c r="E397" t="str">
        <f ca="1">IFERROR(__xludf.DUMMYFUNCTION("""COMPUTED_VALUE"""),"60 ПОЛУВАГОНЫ")</f>
        <v>60 ПОЛУВАГОНЫ</v>
      </c>
      <c r="F397">
        <f ca="1">IFERROR(__xludf.DUMMYFUNCTION("""COMPUTED_VALUE"""),42103)</f>
        <v>42103</v>
      </c>
      <c r="G397" t="str">
        <f ca="1">IFERROR(__xludf.DUMMYFUNCTION("""COMPUTED_VALUE"""),"ВАГОНЫ ЖД СВ")</f>
        <v>ВАГОНЫ ЖД СВ</v>
      </c>
      <c r="H397">
        <f ca="1">IFERROR(__xludf.DUMMYFUNCTION("""COMPUTED_VALUE"""),0)</f>
        <v>0</v>
      </c>
      <c r="I397">
        <f ca="1">IFERROR(__xludf.DUMMYFUNCTION("""COMPUTED_VALUE"""),3437)</f>
        <v>3437</v>
      </c>
      <c r="J397" t="str">
        <f ca="1">IFERROR(__xludf.DUMMYFUNCTION("""COMPUTED_VALUE"""),"2511 (32000-595-34750) ДАРНИЦА - ПЕНИЗЕВИЧИ")</f>
        <v>2511 (32000-595-34750) ДАРНИЦА - ПЕНИЗЕВИЧИ</v>
      </c>
      <c r="K397">
        <f ca="1">IFERROR(__xludf.DUMMYFUNCTION("""COMPUTED_VALUE"""),34750)</f>
        <v>34750</v>
      </c>
      <c r="L397" t="str">
        <f ca="1">IFERROR(__xludf.DUMMYFUNCTION("""COMPUTED_VALUE"""),"ПЕНИЗЕВИЧИ")</f>
        <v>ПЕНИЗЕВИЧИ</v>
      </c>
      <c r="M397" t="str">
        <f ca="1">IFERROR(__xludf.DUMMYFUNCTION("""COMPUTED_VALUE"""),"12.08.21 07-50")</f>
        <v>12.08.21 07-50</v>
      </c>
      <c r="N397" t="str">
        <f ca="1">IFERROR(__xludf.DUMMYFUNCTION("""COMPUTED_VALUE"""),"98 ОТОТ")</f>
        <v>98 ОТОТ</v>
      </c>
      <c r="O397">
        <f ca="1">IFERROR(__xludf.DUMMYFUNCTION("""COMPUTED_VALUE"""),34750)</f>
        <v>34750</v>
      </c>
      <c r="P397" t="str">
        <f ca="1">IFERROR(__xludf.DUMMYFUNCTION("""COMPUTED_VALUE"""),"ПЕНИЗЕВИЧИ")</f>
        <v>ПЕНИЗЕВИЧИ</v>
      </c>
      <c r="Q397">
        <f ca="1">IFERROR(__xludf.DUMMYFUNCTION("""COMPUTED_VALUE"""),49870)</f>
        <v>49870</v>
      </c>
      <c r="R397" t="str">
        <f ca="1">IFERROR(__xludf.DUMMYFUNCTION("""COMPUTED_VALUE"""),"РУБЕЖНОЕ")</f>
        <v>РУБЕЖНОЕ</v>
      </c>
      <c r="S397" t="str">
        <f ca="1">IFERROR(__xludf.DUMMYFUNCTION("""COMPUTED_VALUE"""),"04.08.21 22-00")</f>
        <v>04.08.21 22-00</v>
      </c>
      <c r="T397">
        <f ca="1">IFERROR(__xludf.DUMMYFUNCTION("""COMPUTED_VALUE"""),2992)</f>
        <v>2992</v>
      </c>
      <c r="U397" t="str">
        <f ca="1">IFERROR(__xludf.DUMMYFUNCTION("""COMPUTED_VALUE"""),"31.08.2021 ДР")</f>
        <v>31.08.2021 ДР</v>
      </c>
      <c r="Z397" t="str">
        <f ca="1">IFERROR(__xludf.DUMMYFUNCTION("""COMPUTED_VALUE"""),"ООО «УТС»")</f>
        <v>ООО «УТС»</v>
      </c>
      <c r="AA397" t="str">
        <f ca="1">IFERROR(__xludf.DUMMYFUNCTION("""COMPUTED_VALUE"""),"12-9745")</f>
        <v>12-9745</v>
      </c>
      <c r="AB397" t="str">
        <f ca="1">IFERROR(__xludf.DUMMYFUNCTION("""COMPUTED_VALUE"""),"32 Ю-ЗАП")</f>
        <v>32 Ю-ЗАП</v>
      </c>
      <c r="AC397" t="str">
        <f ca="1">IFERROR(__xludf.DUMMYFUNCTION("""COMPUTED_VALUE"""),"34800 НОВОГР-ВОЛ I")</f>
        <v>34800 НОВОГР-ВОЛ I</v>
      </c>
      <c r="AD397" t="str">
        <f ca="1">IFERROR(__xludf.DUMMYFUNCTION("""COMPUTED_VALUE"""),"17.04.21 16-00")</f>
        <v>17.04.21 16-00</v>
      </c>
      <c r="AE397" t="str">
        <f ca="1">IFERROR(__xludf.DUMMYFUNCTION("""COMPUTED_VALUE"""),"540 НEИCПPAВНOCТЬ ЗAПOPA ЛЮКA")</f>
        <v>540 НEИCПPAВНOCТЬ ЗAПOPA ЛЮКA</v>
      </c>
      <c r="AF397" t="str">
        <f ca="1">IFERROR(__xludf.DUMMYFUNCTION("""COMPUTED_VALUE"""),"32 Ю-ЗАП")</f>
        <v>32 Ю-ЗАП</v>
      </c>
      <c r="AG397" t="str">
        <f ca="1">IFERROR(__xludf.DUMMYFUNCTION("""COMPUTED_VALUE"""),"34800 НОВОГР-ВОЛ I")</f>
        <v>34800 НОВОГР-ВОЛ I</v>
      </c>
      <c r="AH397" t="str">
        <f ca="1">IFERROR(__xludf.DUMMYFUNCTION("""COMPUTED_VALUE"""),"26.04.21 12-30")</f>
        <v>26.04.21 12-30</v>
      </c>
      <c r="AI397" s="21">
        <f ca="1">IFERROR(__xludf.DUMMYFUNCTION("""COMPUTED_VALUE"""),44420.3576851851)</f>
        <v>44420.357685185103</v>
      </c>
    </row>
    <row r="398" spans="1:35" ht="13" x14ac:dyDescent="0.15">
      <c r="A398">
        <f ca="1">IFERROR(__xludf.DUMMYFUNCTION("""COMPUTED_VALUE"""),1336)</f>
        <v>1336</v>
      </c>
      <c r="B398" t="str">
        <f ca="1">IFERROR(__xludf.DUMMYFUNCTION("""COMPUTED_VALUE"""),"Лидер")</f>
        <v>Лидер</v>
      </c>
      <c r="C398" t="str">
        <f ca="1">IFERROR(__xludf.DUMMYFUNCTION("""COMPUTED_VALUE"""),"УТС")</f>
        <v>УТС</v>
      </c>
      <c r="D398">
        <f ca="1">IFERROR(__xludf.DUMMYFUNCTION("""COMPUTED_VALUE"""),60633443)</f>
        <v>60633443</v>
      </c>
      <c r="E398" t="str">
        <f ca="1">IFERROR(__xludf.DUMMYFUNCTION("""COMPUTED_VALUE"""),"60 ПОЛУВАГОНЫ")</f>
        <v>60 ПОЛУВАГОНЫ</v>
      </c>
      <c r="F398">
        <f ca="1">IFERROR(__xludf.DUMMYFUNCTION("""COMPUTED_VALUE"""),23107)</f>
        <v>23107</v>
      </c>
      <c r="G398" t="str">
        <f ca="1">IFERROR(__xludf.DUMMYFUNCTION("""COMPUTED_VALUE"""),"ПЕСОК СТРОИТ")</f>
        <v>ПЕСОК СТРОИТ</v>
      </c>
      <c r="H398">
        <f ca="1">IFERROR(__xludf.DUMMYFUNCTION("""COMPUTED_VALUE"""),69)</f>
        <v>69</v>
      </c>
      <c r="I398">
        <f ca="1">IFERROR(__xludf.DUMMYFUNCTION("""COMPUTED_VALUE"""),5133)</f>
        <v>5133</v>
      </c>
      <c r="J398" t="str">
        <f ca="1">IFERROR(__xludf.DUMMYFUNCTION("""COMPUTED_VALUE"""),"9512 (34710-285-36240) ШАТРИЩЕ - КОЗОВА")</f>
        <v>9512 (34710-285-36240) ШАТРИЩЕ - КОЗОВА</v>
      </c>
      <c r="K398">
        <f ca="1">IFERROR(__xludf.DUMMYFUNCTION("""COMPUTED_VALUE"""),36000)</f>
        <v>36000</v>
      </c>
      <c r="L398" t="str">
        <f ca="1">IFERROR(__xludf.DUMMYFUNCTION("""COMPUTED_VALUE"""),"ТЕРНОПОЛЬ")</f>
        <v>ТЕРНОПОЛЬ</v>
      </c>
      <c r="M398" t="str">
        <f ca="1">IFERROR(__xludf.DUMMYFUNCTION("""COMPUTED_VALUE"""),"11.08.21 21-17")</f>
        <v>11.08.21 21-17</v>
      </c>
      <c r="N398" t="str">
        <f ca="1">IFERROR(__xludf.DUMMYFUNCTION("""COMPUTED_VALUE"""),"04 РАСФ")</f>
        <v>04 РАСФ</v>
      </c>
      <c r="O398">
        <f ca="1">IFERROR(__xludf.DUMMYFUNCTION("""COMPUTED_VALUE"""),36240)</f>
        <v>36240</v>
      </c>
      <c r="P398" t="str">
        <f ca="1">IFERROR(__xludf.DUMMYFUNCTION("""COMPUTED_VALUE"""),"КОЗОВА")</f>
        <v>КОЗОВА</v>
      </c>
      <c r="Q398">
        <f ca="1">IFERROR(__xludf.DUMMYFUNCTION("""COMPUTED_VALUE"""),34750)</f>
        <v>34750</v>
      </c>
      <c r="R398" t="str">
        <f ca="1">IFERROR(__xludf.DUMMYFUNCTION("""COMPUTED_VALUE"""),"ПЕНИЗЕВИЧИ")</f>
        <v>ПЕНИЗЕВИЧИ</v>
      </c>
      <c r="S398" t="str">
        <f ca="1">IFERROR(__xludf.DUMMYFUNCTION("""COMPUTED_VALUE"""),"09.08.21 11-15")</f>
        <v>09.08.21 11-15</v>
      </c>
      <c r="T398">
        <f ca="1">IFERROR(__xludf.DUMMYFUNCTION("""COMPUTED_VALUE"""),3437)</f>
        <v>3437</v>
      </c>
      <c r="U398" t="str">
        <f ca="1">IFERROR(__xludf.DUMMYFUNCTION("""COMPUTED_VALUE"""),"31.08.2021 ДР")</f>
        <v>31.08.2021 ДР</v>
      </c>
      <c r="Z398" t="str">
        <f ca="1">IFERROR(__xludf.DUMMYFUNCTION("""COMPUTED_VALUE"""),"ООО «УТС»")</f>
        <v>ООО «УТС»</v>
      </c>
      <c r="AA398" t="str">
        <f ca="1">IFERROR(__xludf.DUMMYFUNCTION("""COMPUTED_VALUE"""),"12-9745")</f>
        <v>12-9745</v>
      </c>
      <c r="AB398" t="str">
        <f ca="1">IFERROR(__xludf.DUMMYFUNCTION("""COMPUTED_VALUE"""),"32 Ю-ЗАП")</f>
        <v>32 Ю-ЗАП</v>
      </c>
      <c r="AC398" t="str">
        <f ca="1">IFERROR(__xludf.DUMMYFUNCTION("""COMPUTED_VALUE"""),"34800 НОВОГР-ВОЛ I")</f>
        <v>34800 НОВОГР-ВОЛ I</v>
      </c>
      <c r="AD398" t="str">
        <f ca="1">IFERROR(__xludf.DUMMYFUNCTION("""COMPUTED_VALUE"""),"18.04.21 05-00")</f>
        <v>18.04.21 05-00</v>
      </c>
      <c r="AE398" t="str">
        <f ca="1">IFERROR(__xludf.DUMMYFUNCTION("""COMPUTED_VALUE"""),"540 НEИCПPAВНOCТЬ ЗAПOPA ЛЮКA")</f>
        <v>540 НEИCПPAВНOCТЬ ЗAПOPA ЛЮКA</v>
      </c>
      <c r="AF398" t="str">
        <f ca="1">IFERROR(__xludf.DUMMYFUNCTION("""COMPUTED_VALUE"""),"32 Ю-ЗАП")</f>
        <v>32 Ю-ЗАП</v>
      </c>
      <c r="AG398" t="str">
        <f ca="1">IFERROR(__xludf.DUMMYFUNCTION("""COMPUTED_VALUE"""),"34800 НОВОГР-ВОЛ I")</f>
        <v>34800 НОВОГР-ВОЛ I</v>
      </c>
      <c r="AH398" t="str">
        <f ca="1">IFERROR(__xludf.DUMMYFUNCTION("""COMPUTED_VALUE"""),"26.04.21 12-30")</f>
        <v>26.04.21 12-30</v>
      </c>
      <c r="AI398" s="21">
        <f ca="1">IFERROR(__xludf.DUMMYFUNCTION("""COMPUTED_VALUE"""),44420.3576851851)</f>
        <v>44420.357685185103</v>
      </c>
    </row>
    <row r="399" spans="1:35" ht="13" x14ac:dyDescent="0.15">
      <c r="A399">
        <f ca="1">IFERROR(__xludf.DUMMYFUNCTION("""COMPUTED_VALUE"""),1337)</f>
        <v>1337</v>
      </c>
      <c r="B399" t="str">
        <f ca="1">IFERROR(__xludf.DUMMYFUNCTION("""COMPUTED_VALUE"""),"Лидер")</f>
        <v>Лидер</v>
      </c>
      <c r="C399" t="str">
        <f ca="1">IFERROR(__xludf.DUMMYFUNCTION("""COMPUTED_VALUE"""),"УТС")</f>
        <v>УТС</v>
      </c>
      <c r="D399">
        <f ca="1">IFERROR(__xludf.DUMMYFUNCTION("""COMPUTED_VALUE"""),59481374)</f>
        <v>59481374</v>
      </c>
      <c r="E399" t="str">
        <f ca="1">IFERROR(__xludf.DUMMYFUNCTION("""COMPUTED_VALUE"""),"60 ПОЛУВАГОНЫ")</f>
        <v>60 ПОЛУВАГОНЫ</v>
      </c>
      <c r="F399">
        <f ca="1">IFERROR(__xludf.DUMMYFUNCTION("""COMPUTED_VALUE"""),42103)</f>
        <v>42103</v>
      </c>
      <c r="G399" t="str">
        <f ca="1">IFERROR(__xludf.DUMMYFUNCTION("""COMPUTED_VALUE"""),"ВАГОНЫ ЖД СВ")</f>
        <v>ВАГОНЫ ЖД СВ</v>
      </c>
      <c r="H399">
        <f ca="1">IFERROR(__xludf.DUMMYFUNCTION("""COMPUTED_VALUE"""),0)</f>
        <v>0</v>
      </c>
      <c r="I399">
        <f ca="1">IFERROR(__xludf.DUMMYFUNCTION("""COMPUTED_VALUE"""),3437)</f>
        <v>3437</v>
      </c>
      <c r="J399" t="str">
        <f ca="1">IFERROR(__xludf.DUMMYFUNCTION("""COMPUTED_VALUE"""),"2511 (32000-595-34750) ДАРНИЦА - ПЕНИЗЕВИЧИ")</f>
        <v>2511 (32000-595-34750) ДАРНИЦА - ПЕНИЗЕВИЧИ</v>
      </c>
      <c r="K399">
        <f ca="1">IFERROR(__xludf.DUMMYFUNCTION("""COMPUTED_VALUE"""),34750)</f>
        <v>34750</v>
      </c>
      <c r="L399" t="str">
        <f ca="1">IFERROR(__xludf.DUMMYFUNCTION("""COMPUTED_VALUE"""),"ПЕНИЗЕВИЧИ")</f>
        <v>ПЕНИЗЕВИЧИ</v>
      </c>
      <c r="M399" t="str">
        <f ca="1">IFERROR(__xludf.DUMMYFUNCTION("""COMPUTED_VALUE"""),"12.08.21 07-50")</f>
        <v>12.08.21 07-50</v>
      </c>
      <c r="N399" t="str">
        <f ca="1">IFERROR(__xludf.DUMMYFUNCTION("""COMPUTED_VALUE"""),"98 ОТОТ")</f>
        <v>98 ОТОТ</v>
      </c>
      <c r="O399">
        <f ca="1">IFERROR(__xludf.DUMMYFUNCTION("""COMPUTED_VALUE"""),34750)</f>
        <v>34750</v>
      </c>
      <c r="P399" t="str">
        <f ca="1">IFERROR(__xludf.DUMMYFUNCTION("""COMPUTED_VALUE"""),"ПЕНИЗЕВИЧИ")</f>
        <v>ПЕНИЗЕВИЧИ</v>
      </c>
      <c r="Q399">
        <f ca="1">IFERROR(__xludf.DUMMYFUNCTION("""COMPUTED_VALUE"""),49870)</f>
        <v>49870</v>
      </c>
      <c r="R399" t="str">
        <f ca="1">IFERROR(__xludf.DUMMYFUNCTION("""COMPUTED_VALUE"""),"РУБЕЖНОЕ")</f>
        <v>РУБЕЖНОЕ</v>
      </c>
      <c r="S399" t="str">
        <f ca="1">IFERROR(__xludf.DUMMYFUNCTION("""COMPUTED_VALUE"""),"04.08.21 22-00")</f>
        <v>04.08.21 22-00</v>
      </c>
      <c r="T399">
        <f ca="1">IFERROR(__xludf.DUMMYFUNCTION("""COMPUTED_VALUE"""),2992)</f>
        <v>2992</v>
      </c>
      <c r="U399" t="str">
        <f ca="1">IFERROR(__xludf.DUMMYFUNCTION("""COMPUTED_VALUE"""),"19.09.2021 ДР")</f>
        <v>19.09.2021 ДР</v>
      </c>
      <c r="Z399" t="str">
        <f ca="1">IFERROR(__xludf.DUMMYFUNCTION("""COMPUTED_VALUE"""),"ООО «УТС»")</f>
        <v>ООО «УТС»</v>
      </c>
      <c r="AA399" t="str">
        <f ca="1">IFERROR(__xludf.DUMMYFUNCTION("""COMPUTED_VALUE"""),"12-9745")</f>
        <v>12-9745</v>
      </c>
      <c r="AB399" t="str">
        <f ca="1">IFERROR(__xludf.DUMMYFUNCTION("""COMPUTED_VALUE"""),"32 Ю-ЗАП")</f>
        <v>32 Ю-ЗАП</v>
      </c>
      <c r="AC399" t="str">
        <f ca="1">IFERROR(__xludf.DUMMYFUNCTION("""COMPUTED_VALUE"""),"34270 КАЗАТИН I")</f>
        <v>34270 КАЗАТИН I</v>
      </c>
      <c r="AD399" t="str">
        <f ca="1">IFERROR(__xludf.DUMMYFUNCTION("""COMPUTED_VALUE"""),"08.03.21 13-50")</f>
        <v>08.03.21 13-50</v>
      </c>
      <c r="AE399" t="str">
        <f ca="1">IFERROR(__xludf.DUMMYFUNCTION("""COMPUTED_VALUE"""),"445 ЗAВAP БAШМAКA")</f>
        <v>445 ЗAВAP БAШМAКA</v>
      </c>
      <c r="AF399" t="str">
        <f ca="1">IFERROR(__xludf.DUMMYFUNCTION("""COMPUTED_VALUE"""),"32 Ю-ЗАП")</f>
        <v>32 Ю-ЗАП</v>
      </c>
      <c r="AG399" t="str">
        <f ca="1">IFERROR(__xludf.DUMMYFUNCTION("""COMPUTED_VALUE"""),"34270 КАЗАТИН I")</f>
        <v>34270 КАЗАТИН I</v>
      </c>
      <c r="AH399" t="str">
        <f ca="1">IFERROR(__xludf.DUMMYFUNCTION("""COMPUTED_VALUE"""),"09.03.21 13-00")</f>
        <v>09.03.21 13-00</v>
      </c>
      <c r="AI399" s="21">
        <f ca="1">IFERROR(__xludf.DUMMYFUNCTION("""COMPUTED_VALUE"""),44420.3576851851)</f>
        <v>44420.357685185103</v>
      </c>
    </row>
    <row r="400" spans="1:35" ht="13" x14ac:dyDescent="0.15">
      <c r="A400">
        <f ca="1">IFERROR(__xludf.DUMMYFUNCTION("""COMPUTED_VALUE"""),1338)</f>
        <v>1338</v>
      </c>
      <c r="B400" t="str">
        <f ca="1">IFERROR(__xludf.DUMMYFUNCTION("""COMPUTED_VALUE"""),"Лидер")</f>
        <v>Лидер</v>
      </c>
      <c r="C400" t="str">
        <f ca="1">IFERROR(__xludf.DUMMYFUNCTION("""COMPUTED_VALUE"""),"УТС")</f>
        <v>УТС</v>
      </c>
      <c r="D400">
        <f ca="1">IFERROR(__xludf.DUMMYFUNCTION("""COMPUTED_VALUE"""),60631264)</f>
        <v>60631264</v>
      </c>
      <c r="E400" t="str">
        <f ca="1">IFERROR(__xludf.DUMMYFUNCTION("""COMPUTED_VALUE"""),"60 ПОЛУВАГОНЫ")</f>
        <v>60 ПОЛУВАГОНЫ</v>
      </c>
      <c r="F400">
        <f ca="1">IFERROR(__xludf.DUMMYFUNCTION("""COMPUTED_VALUE"""),42103)</f>
        <v>42103</v>
      </c>
      <c r="G400" t="str">
        <f ca="1">IFERROR(__xludf.DUMMYFUNCTION("""COMPUTED_VALUE"""),"ВАГОНЫ ЖД СВ")</f>
        <v>ВАГОНЫ ЖД СВ</v>
      </c>
      <c r="H400">
        <f ca="1">IFERROR(__xludf.DUMMYFUNCTION("""COMPUTED_VALUE"""),0)</f>
        <v>0</v>
      </c>
      <c r="I400">
        <f ca="1">IFERROR(__xludf.DUMMYFUNCTION("""COMPUTED_VALUE"""),7052)</f>
        <v>7052</v>
      </c>
      <c r="J400" t="str">
        <f ca="1">IFERROR(__xludf.DUMMYFUNCTION("""COMPUTED_VALUE"""),"3502 (34630-492-34850) КОРОСТЕНЬ - УШИЦА")</f>
        <v>3502 (34630-492-34850) КОРОСТЕНЬ - УШИЦА</v>
      </c>
      <c r="K400">
        <f ca="1">IFERROR(__xludf.DUMMYFUNCTION("""COMPUTED_VALUE"""),34640)</f>
        <v>34640</v>
      </c>
      <c r="L400" t="str">
        <f ca="1">IFERROR(__xludf.DUMMYFUNCTION("""COMPUTED_VALUE"""),"КОРОСТ-ПОДОЛ")</f>
        <v>КОРОСТ-ПОДОЛ</v>
      </c>
      <c r="M400" t="str">
        <f ca="1">IFERROR(__xludf.DUMMYFUNCTION("""COMPUTED_VALUE"""),"12.08.21 05-56")</f>
        <v>12.08.21 05-56</v>
      </c>
      <c r="N400" t="str">
        <f ca="1">IFERROR(__xludf.DUMMYFUNCTION("""COMPUTED_VALUE"""),"01 ПРИБ")</f>
        <v>01 ПРИБ</v>
      </c>
      <c r="O400">
        <f ca="1">IFERROR(__xludf.DUMMYFUNCTION("""COMPUTED_VALUE"""),34850)</f>
        <v>34850</v>
      </c>
      <c r="P400" t="str">
        <f ca="1">IFERROR(__xludf.DUMMYFUNCTION("""COMPUTED_VALUE"""),"УШИЦА")</f>
        <v>УШИЦА</v>
      </c>
      <c r="Q400">
        <f ca="1">IFERROR(__xludf.DUMMYFUNCTION("""COMPUTED_VALUE"""),49870)</f>
        <v>49870</v>
      </c>
      <c r="R400" t="str">
        <f ca="1">IFERROR(__xludf.DUMMYFUNCTION("""COMPUTED_VALUE"""),"РУБЕЖНОЕ")</f>
        <v>РУБЕЖНОЕ</v>
      </c>
      <c r="S400" t="str">
        <f ca="1">IFERROR(__xludf.DUMMYFUNCTION("""COMPUTED_VALUE"""),"06.08.21 13-50")</f>
        <v>06.08.21 13-50</v>
      </c>
      <c r="T400">
        <f ca="1">IFERROR(__xludf.DUMMYFUNCTION("""COMPUTED_VALUE"""),2992)</f>
        <v>2992</v>
      </c>
      <c r="U400" t="str">
        <f ca="1">IFERROR(__xludf.DUMMYFUNCTION("""COMPUTED_VALUE"""),"20.10.2021 ДР")</f>
        <v>20.10.2021 ДР</v>
      </c>
      <c r="Z400" t="str">
        <f ca="1">IFERROR(__xludf.DUMMYFUNCTION("""COMPUTED_VALUE"""),"ООО «УТС»")</f>
        <v>ООО «УТС»</v>
      </c>
      <c r="AA400" t="str">
        <f ca="1">IFERROR(__xludf.DUMMYFUNCTION("""COMPUTED_VALUE"""),"12-9745")</f>
        <v>12-9745</v>
      </c>
      <c r="AB400" t="str">
        <f ca="1">IFERROR(__xludf.DUMMYFUNCTION("""COMPUTED_VALUE"""),"43 ЮЖН")</f>
        <v>43 ЮЖН</v>
      </c>
      <c r="AC400" t="str">
        <f ca="1">IFERROR(__xludf.DUMMYFUNCTION("""COMPUTED_VALUE"""),"44020 ОСНОВА")</f>
        <v>44020 ОСНОВА</v>
      </c>
      <c r="AD400" t="str">
        <f ca="1">IFERROR(__xludf.DUMMYFUNCTION("""COMPUTED_VALUE"""),"24.06.21 20-10")</f>
        <v>24.06.21 20-10</v>
      </c>
      <c r="AE400" t="str">
        <f ca="1">IFERROR(__xludf.DUMMYFUNCTION("""COMPUTED_VALUE"""),"455")</f>
        <v>455</v>
      </c>
      <c r="AF400" t="str">
        <f ca="1">IFERROR(__xludf.DUMMYFUNCTION("""COMPUTED_VALUE"""),"43 ЮЖН")</f>
        <v>43 ЮЖН</v>
      </c>
      <c r="AG400" t="str">
        <f ca="1">IFERROR(__xludf.DUMMYFUNCTION("""COMPUTED_VALUE"""),"44020 ОСНОВА")</f>
        <v>44020 ОСНОВА</v>
      </c>
      <c r="AH400" t="str">
        <f ca="1">IFERROR(__xludf.DUMMYFUNCTION("""COMPUTED_VALUE"""),"07.07.21 17-10")</f>
        <v>07.07.21 17-10</v>
      </c>
      <c r="AI400" s="21">
        <f ca="1">IFERROR(__xludf.DUMMYFUNCTION("""COMPUTED_VALUE"""),44420.3576851851)</f>
        <v>44420.357685185103</v>
      </c>
    </row>
    <row r="401" spans="1:35" ht="13" x14ac:dyDescent="0.15">
      <c r="A401">
        <f ca="1">IFERROR(__xludf.DUMMYFUNCTION("""COMPUTED_VALUE"""),1339)</f>
        <v>1339</v>
      </c>
      <c r="B401" t="str">
        <f ca="1">IFERROR(__xludf.DUMMYFUNCTION("""COMPUTED_VALUE"""),"Лидер")</f>
        <v>Лидер</v>
      </c>
      <c r="C401" t="str">
        <f ca="1">IFERROR(__xludf.DUMMYFUNCTION("""COMPUTED_VALUE"""),"УТС")</f>
        <v>УТС</v>
      </c>
      <c r="D401">
        <f ca="1">IFERROR(__xludf.DUMMYFUNCTION("""COMPUTED_VALUE"""),60633971)</f>
        <v>60633971</v>
      </c>
      <c r="E401" t="str">
        <f ca="1">IFERROR(__xludf.DUMMYFUNCTION("""COMPUTED_VALUE"""),"60 ПОЛУВАГОНЫ")</f>
        <v>60 ПОЛУВАГОНЫ</v>
      </c>
      <c r="F401">
        <f ca="1">IFERROR(__xludf.DUMMYFUNCTION("""COMPUTED_VALUE"""),42103)</f>
        <v>42103</v>
      </c>
      <c r="G401" t="str">
        <f ca="1">IFERROR(__xludf.DUMMYFUNCTION("""COMPUTED_VALUE"""),"ВАГОНЫ ЖД СВ")</f>
        <v>ВАГОНЫ ЖД СВ</v>
      </c>
      <c r="H401">
        <f ca="1">IFERROR(__xludf.DUMMYFUNCTION("""COMPUTED_VALUE"""),0)</f>
        <v>0</v>
      </c>
      <c r="I401">
        <f ca="1">IFERROR(__xludf.DUMMYFUNCTION("""COMPUTED_VALUE"""),3437)</f>
        <v>3437</v>
      </c>
      <c r="J401" t="str">
        <f ca="1">IFERROR(__xludf.DUMMYFUNCTION("""COMPUTED_VALUE"""),"2511 (32000-595-34750) ДАРНИЦА - ПЕНИЗЕВИЧИ")</f>
        <v>2511 (32000-595-34750) ДАРНИЦА - ПЕНИЗЕВИЧИ</v>
      </c>
      <c r="K401">
        <f ca="1">IFERROR(__xludf.DUMMYFUNCTION("""COMPUTED_VALUE"""),34750)</f>
        <v>34750</v>
      </c>
      <c r="L401" t="str">
        <f ca="1">IFERROR(__xludf.DUMMYFUNCTION("""COMPUTED_VALUE"""),"ПЕНИЗЕВИЧИ")</f>
        <v>ПЕНИЗЕВИЧИ</v>
      </c>
      <c r="M401" t="str">
        <f ca="1">IFERROR(__xludf.DUMMYFUNCTION("""COMPUTED_VALUE"""),"12.08.21 07-50")</f>
        <v>12.08.21 07-50</v>
      </c>
      <c r="N401" t="str">
        <f ca="1">IFERROR(__xludf.DUMMYFUNCTION("""COMPUTED_VALUE"""),"98 ОТОТ")</f>
        <v>98 ОТОТ</v>
      </c>
      <c r="O401">
        <f ca="1">IFERROR(__xludf.DUMMYFUNCTION("""COMPUTED_VALUE"""),34750)</f>
        <v>34750</v>
      </c>
      <c r="P401" t="str">
        <f ca="1">IFERROR(__xludf.DUMMYFUNCTION("""COMPUTED_VALUE"""),"ПЕНИЗЕВИЧИ")</f>
        <v>ПЕНИЗЕВИЧИ</v>
      </c>
      <c r="Q401">
        <f ca="1">IFERROR(__xludf.DUMMYFUNCTION("""COMPUTED_VALUE"""),49870)</f>
        <v>49870</v>
      </c>
      <c r="R401" t="str">
        <f ca="1">IFERROR(__xludf.DUMMYFUNCTION("""COMPUTED_VALUE"""),"РУБЕЖНОЕ")</f>
        <v>РУБЕЖНОЕ</v>
      </c>
      <c r="S401" t="str">
        <f ca="1">IFERROR(__xludf.DUMMYFUNCTION("""COMPUTED_VALUE"""),"04.08.21 22-00")</f>
        <v>04.08.21 22-00</v>
      </c>
      <c r="T401">
        <f ca="1">IFERROR(__xludf.DUMMYFUNCTION("""COMPUTED_VALUE"""),2992)</f>
        <v>2992</v>
      </c>
      <c r="U401" t="str">
        <f ca="1">IFERROR(__xludf.DUMMYFUNCTION("""COMPUTED_VALUE"""),"03.11.2021 ДР")</f>
        <v>03.11.2021 ДР</v>
      </c>
      <c r="Z401" t="str">
        <f ca="1">IFERROR(__xludf.DUMMYFUNCTION("""COMPUTED_VALUE"""),"ООО «УТС»")</f>
        <v>ООО «УТС»</v>
      </c>
      <c r="AA401" t="str">
        <f ca="1">IFERROR(__xludf.DUMMYFUNCTION("""COMPUTED_VALUE"""),"12-9745")</f>
        <v>12-9745</v>
      </c>
      <c r="AB401" t="str">
        <f ca="1">IFERROR(__xludf.DUMMYFUNCTION("""COMPUTED_VALUE"""),"32 Ю-ЗАП")</f>
        <v>32 Ю-ЗАП</v>
      </c>
      <c r="AC401" t="str">
        <f ca="1">IFERROR(__xludf.DUMMYFUNCTION("""COMPUTED_VALUE"""),"33000 ЖМЕРИНКА")</f>
        <v>33000 ЖМЕРИНКА</v>
      </c>
      <c r="AD401" t="str">
        <f ca="1">IFERROR(__xludf.DUMMYFUNCTION("""COMPUTED_VALUE"""),"18.12.20 02-26")</f>
        <v>18.12.20 02-26</v>
      </c>
      <c r="AE401" t="str">
        <f ca="1">IFERROR(__xludf.DUMMYFUNCTION("""COMPUTED_VALUE"""),"403 НEИCПPAВНОСТЬ ВOЗДУXOPACПPEДEЛИТEЛЯ")</f>
        <v>403 НEИCПPAВНОСТЬ ВOЗДУXOPACПPEДEЛИТEЛЯ</v>
      </c>
      <c r="AF401" t="str">
        <f ca="1">IFERROR(__xludf.DUMMYFUNCTION("""COMPUTED_VALUE"""),"32 Ю-ЗАП")</f>
        <v>32 Ю-ЗАП</v>
      </c>
      <c r="AG401" t="str">
        <f ca="1">IFERROR(__xludf.DUMMYFUNCTION("""COMPUTED_VALUE"""),"33000 ЖМЕРИНКА")</f>
        <v>33000 ЖМЕРИНКА</v>
      </c>
      <c r="AH401" t="str">
        <f ca="1">IFERROR(__xludf.DUMMYFUNCTION("""COMPUTED_VALUE"""),"20.12.20 14-00")</f>
        <v>20.12.20 14-00</v>
      </c>
      <c r="AI401" s="21">
        <f ca="1">IFERROR(__xludf.DUMMYFUNCTION("""COMPUTED_VALUE"""),44420.3576851851)</f>
        <v>44420.357685185103</v>
      </c>
    </row>
    <row r="402" spans="1:35" ht="13" x14ac:dyDescent="0.15">
      <c r="A402">
        <f ca="1">IFERROR(__xludf.DUMMYFUNCTION("""COMPUTED_VALUE"""),1340)</f>
        <v>1340</v>
      </c>
      <c r="B402" t="str">
        <f ca="1">IFERROR(__xludf.DUMMYFUNCTION("""COMPUTED_VALUE"""),"Лидер")</f>
        <v>Лидер</v>
      </c>
      <c r="C402" t="str">
        <f ca="1">IFERROR(__xludf.DUMMYFUNCTION("""COMPUTED_VALUE"""),"УТС")</f>
        <v>УТС</v>
      </c>
      <c r="D402">
        <f ca="1">IFERROR(__xludf.DUMMYFUNCTION("""COMPUTED_VALUE"""),57639809)</f>
        <v>57639809</v>
      </c>
      <c r="E402" t="str">
        <f ca="1">IFERROR(__xludf.DUMMYFUNCTION("""COMPUTED_VALUE"""),"60 ПОЛУВАГОНЫ")</f>
        <v>60 ПОЛУВАГОНЫ</v>
      </c>
      <c r="F402">
        <f ca="1">IFERROR(__xludf.DUMMYFUNCTION("""COMPUTED_VALUE"""),42103)</f>
        <v>42103</v>
      </c>
      <c r="G402" t="str">
        <f ca="1">IFERROR(__xludf.DUMMYFUNCTION("""COMPUTED_VALUE"""),"ВАГОНЫ ЖД СВ")</f>
        <v>ВАГОНЫ ЖД СВ</v>
      </c>
      <c r="H402">
        <f ca="1">IFERROR(__xludf.DUMMYFUNCTION("""COMPUTED_VALUE"""),0)</f>
        <v>0</v>
      </c>
      <c r="I402">
        <f ca="1">IFERROR(__xludf.DUMMYFUNCTION("""COMPUTED_VALUE"""),7052)</f>
        <v>7052</v>
      </c>
      <c r="J402" t="str">
        <f ca="1">IFERROR(__xludf.DUMMYFUNCTION("""COMPUTED_VALUE"""),"3086 (36000-047-35000) ТЕРНОПОЛЬ - ЗДОЛБУНОВ")</f>
        <v>3086 (36000-047-35000) ТЕРНОПОЛЬ - ЗДОЛБУНОВ</v>
      </c>
      <c r="K402">
        <f ca="1">IFERROR(__xludf.DUMMYFUNCTION("""COMPUTED_VALUE"""),35000)</f>
        <v>35000</v>
      </c>
      <c r="L402" t="str">
        <f ca="1">IFERROR(__xludf.DUMMYFUNCTION("""COMPUTED_VALUE"""),"ЗДОЛБУНОВ")</f>
        <v>ЗДОЛБУНОВ</v>
      </c>
      <c r="M402" t="str">
        <f ca="1">IFERROR(__xludf.DUMMYFUNCTION("""COMPUTED_VALUE"""),"11.08.21 22-02")</f>
        <v>11.08.21 22-02</v>
      </c>
      <c r="N402" t="str">
        <f ca="1">IFERROR(__xludf.DUMMYFUNCTION("""COMPUTED_VALUE"""),"04 РАСФ")</f>
        <v>04 РАСФ</v>
      </c>
      <c r="O402">
        <f ca="1">IFERROR(__xludf.DUMMYFUNCTION("""COMPUTED_VALUE"""),34850)</f>
        <v>34850</v>
      </c>
      <c r="P402" t="str">
        <f ca="1">IFERROR(__xludf.DUMMYFUNCTION("""COMPUTED_VALUE"""),"УШИЦА")</f>
        <v>УШИЦА</v>
      </c>
      <c r="Q402">
        <f ca="1">IFERROR(__xludf.DUMMYFUNCTION("""COMPUTED_VALUE"""),36240)</f>
        <v>36240</v>
      </c>
      <c r="R402" t="str">
        <f ca="1">IFERROR(__xludf.DUMMYFUNCTION("""COMPUTED_VALUE"""),"КОЗОВА")</f>
        <v>КОЗОВА</v>
      </c>
      <c r="S402" t="str">
        <f ca="1">IFERROR(__xludf.DUMMYFUNCTION("""COMPUTED_VALUE"""),"09.08.21 12-50")</f>
        <v>09.08.21 12-50</v>
      </c>
      <c r="T402">
        <f ca="1">IFERROR(__xludf.DUMMYFUNCTION("""COMPUTED_VALUE"""),5633)</f>
        <v>5633</v>
      </c>
      <c r="U402" t="str">
        <f ca="1">IFERROR(__xludf.DUMMYFUNCTION("""COMPUTED_VALUE"""),"20.11.2021 ДР")</f>
        <v>20.11.2021 ДР</v>
      </c>
      <c r="Z402" t="str">
        <f ca="1">IFERROR(__xludf.DUMMYFUNCTION("""COMPUTED_VALUE"""),"ООО «УТС»")</f>
        <v>ООО «УТС»</v>
      </c>
      <c r="AA402" t="str">
        <f ca="1">IFERROR(__xludf.DUMMYFUNCTION("""COMPUTED_VALUE"""),"12-9044")</f>
        <v>12-9044</v>
      </c>
      <c r="AB402" t="str">
        <f ca="1">IFERROR(__xludf.DUMMYFUNCTION("""COMPUTED_VALUE"""),"48 ДОН")</f>
        <v>48 ДОН</v>
      </c>
      <c r="AC402" t="str">
        <f ca="1">IFERROR(__xludf.DUMMYFUNCTION("""COMPUTED_VALUE"""),"48200 ПОКРОВСК")</f>
        <v>48200 ПОКРОВСК</v>
      </c>
      <c r="AD402" t="str">
        <f ca="1">IFERROR(__xludf.DUMMYFUNCTION("""COMPUTED_VALUE"""),"10.11.18 10-00")</f>
        <v>10.11.18 10-00</v>
      </c>
      <c r="AE402" t="str">
        <f ca="1">IFERROR(__xludf.DUMMYFUNCTION("""COMPUTED_VALUE"""),"570 ИCТEК КAЛЕНДАРНЫЙ CPOК ДEПOВCКОГО PEМOНТA")</f>
        <v>570 ИCТEК КAЛЕНДАРНЫЙ CPOК ДEПOВCКОГО PEМOНТA</v>
      </c>
      <c r="AF402" t="str">
        <f ca="1">IFERROR(__xludf.DUMMYFUNCTION("""COMPUTED_VALUE"""),"48 ДОН")</f>
        <v>48 ДОН</v>
      </c>
      <c r="AG402" t="str">
        <f ca="1">IFERROR(__xludf.DUMMYFUNCTION("""COMPUTED_VALUE"""),"48200 ПОКРОВСК")</f>
        <v>48200 ПОКРОВСК</v>
      </c>
      <c r="AH402" t="str">
        <f ca="1">IFERROR(__xludf.DUMMYFUNCTION("""COMPUTED_VALUE"""),"20.11.18 16-30")</f>
        <v>20.11.18 16-30</v>
      </c>
      <c r="AI402" s="21">
        <f ca="1">IFERROR(__xludf.DUMMYFUNCTION("""COMPUTED_VALUE"""),44420.3576851851)</f>
        <v>44420.357685185103</v>
      </c>
    </row>
    <row r="403" spans="1:35" ht="13" x14ac:dyDescent="0.15">
      <c r="A403">
        <f ca="1">IFERROR(__xludf.DUMMYFUNCTION("""COMPUTED_VALUE"""),1341)</f>
        <v>1341</v>
      </c>
      <c r="B403" t="str">
        <f ca="1">IFERROR(__xludf.DUMMYFUNCTION("""COMPUTED_VALUE"""),"Гран Инвест")</f>
        <v>Гран Инвест</v>
      </c>
      <c r="C403" t="str">
        <f ca="1">IFERROR(__xludf.DUMMYFUNCTION("""COMPUTED_VALUE"""),"ЕУ-Транс")</f>
        <v>ЕУ-Транс</v>
      </c>
      <c r="D403">
        <f ca="1">IFERROR(__xludf.DUMMYFUNCTION("""COMPUTED_VALUE"""),56730823)</f>
        <v>56730823</v>
      </c>
      <c r="E403" t="str">
        <f ca="1">IFERROR(__xludf.DUMMYFUNCTION("""COMPUTED_VALUE"""),"68 ГЛУХОДОННЫЕ")</f>
        <v>68 ГЛУХОДОННЫЕ</v>
      </c>
      <c r="F403">
        <f ca="1">IFERROR(__xludf.DUMMYFUNCTION("""COMPUTED_VALUE"""),23239)</f>
        <v>23239</v>
      </c>
      <c r="G403" t="str">
        <f ca="1">IFERROR(__xludf.DUMMYFUNCTION("""COMPUTED_VALUE"""),"ЩЕБЕНЬ ГРАНИТ")</f>
        <v>ЩЕБЕНЬ ГРАНИТ</v>
      </c>
      <c r="H403">
        <f ca="1">IFERROR(__xludf.DUMMYFUNCTION("""COMPUTED_VALUE"""),71)</f>
        <v>71</v>
      </c>
      <c r="I403">
        <f ca="1">IFERROR(__xludf.DUMMYFUNCTION("""COMPUTED_VALUE"""),4261)</f>
        <v>4261</v>
      </c>
      <c r="J403" t="str">
        <f ca="1">IFERROR(__xludf.DUMMYFUNCTION("""COMPUTED_VALUE"""),"3505 (35580-026-35550) ТОМАШГОРОД - САРНЫ")</f>
        <v>3505 (35580-026-35550) ТОМАШГОРОД - САРНЫ</v>
      </c>
      <c r="K403">
        <f ca="1">IFERROR(__xludf.DUMMYFUNCTION("""COMPUTED_VALUE"""),35580)</f>
        <v>35580</v>
      </c>
      <c r="L403" t="str">
        <f ca="1">IFERROR(__xludf.DUMMYFUNCTION("""COMPUTED_VALUE"""),"ТОМАШГОРОД")</f>
        <v>ТОМАШГОРОД</v>
      </c>
      <c r="M403" t="str">
        <f ca="1">IFERROR(__xludf.DUMMYFUNCTION("""COMPUTED_VALUE"""),"10.08.21 18-50")</f>
        <v>10.08.21 18-50</v>
      </c>
      <c r="N403" t="str">
        <f ca="1">IFERROR(__xludf.DUMMYFUNCTION("""COMPUTED_VALUE"""),"91 ПРДР")</f>
        <v>91 ПРДР</v>
      </c>
      <c r="O403">
        <f ca="1">IFERROR(__xludf.DUMMYFUNCTION("""COMPUTED_VALUE"""),35260)</f>
        <v>35260</v>
      </c>
      <c r="P403" t="str">
        <f ca="1">IFERROR(__xludf.DUMMYFUNCTION("""COMPUTED_VALUE"""),"ИЗОВ-Э-ПКП")</f>
        <v>ИЗОВ-Э-ПКП</v>
      </c>
      <c r="Q403">
        <f ca="1">IFERROR(__xludf.DUMMYFUNCTION("""COMPUTED_VALUE"""),35580)</f>
        <v>35580</v>
      </c>
      <c r="R403" t="str">
        <f ca="1">IFERROR(__xludf.DUMMYFUNCTION("""COMPUTED_VALUE"""),"ТОМАШГОРОД")</f>
        <v>ТОМАШГОРОД</v>
      </c>
      <c r="S403" t="str">
        <f ca="1">IFERROR(__xludf.DUMMYFUNCTION("""COMPUTED_VALUE"""),"10.08.21 18-50")</f>
        <v>10.08.21 18-50</v>
      </c>
      <c r="T403">
        <f ca="1">IFERROR(__xludf.DUMMYFUNCTION("""COMPUTED_VALUE"""),1406)</f>
        <v>1406</v>
      </c>
      <c r="U403" t="str">
        <f ca="1">IFERROR(__xludf.DUMMYFUNCTION("""COMPUTED_VALUE"""),"15.12.2023 ДР")</f>
        <v>15.12.2023 ДР</v>
      </c>
      <c r="Z403" t="str">
        <f ca="1">IFERROR(__xludf.DUMMYFUNCTION("""COMPUTED_VALUE"""),"ООО «ЕУ-Транс»")</f>
        <v>ООО «ЕУ-Транс»</v>
      </c>
      <c r="AA403" t="str">
        <f ca="1">IFERROR(__xludf.DUMMYFUNCTION("""COMPUTED_VALUE"""),"12-1592")</f>
        <v>12-1592</v>
      </c>
      <c r="AB403" t="str">
        <f ca="1">IFERROR(__xludf.DUMMYFUNCTION("""COMPUTED_VALUE"""),"40 ОД")</f>
        <v>40 ОД</v>
      </c>
      <c r="AC403" t="str">
        <f ca="1">IFERROR(__xludf.DUMMYFUNCTION("""COMPUTED_VALUE"""),"41000 ЗНАМЕНКА")</f>
        <v>41000 ЗНАМЕНКА</v>
      </c>
      <c r="AD403" t="str">
        <f ca="1">IFERROR(__xludf.DUMMYFUNCTION("""COMPUTED_VALUE"""),"09.12.20 06-00")</f>
        <v>09.12.20 06-00</v>
      </c>
      <c r="AE403" t="str">
        <f ca="1">IFERROR(__xludf.DUMMYFUNCTION("""COMPUTED_VALUE"""),"570 ИCТEК КAЛЕНДАРНЫЙ CPOК ДEПOВCКОГО PEМOНТA")</f>
        <v>570 ИCТEК КAЛЕНДАРНЫЙ CPOК ДEПOВCКОГО PEМOНТA</v>
      </c>
      <c r="AF403" t="str">
        <f ca="1">IFERROR(__xludf.DUMMYFUNCTION("""COMPUTED_VALUE"""),"40 ОД")</f>
        <v>40 ОД</v>
      </c>
      <c r="AG403" t="str">
        <f ca="1">IFERROR(__xludf.DUMMYFUNCTION("""COMPUTED_VALUE"""),"41000 ЗНАМЕНКА")</f>
        <v>41000 ЗНАМЕНКА</v>
      </c>
      <c r="AH403" t="str">
        <f ca="1">IFERROR(__xludf.DUMMYFUNCTION("""COMPUTED_VALUE"""),"15.12.20 14-30")</f>
        <v>15.12.20 14-30</v>
      </c>
      <c r="AI403" s="21">
        <f ca="1">IFERROR(__xludf.DUMMYFUNCTION("""COMPUTED_VALUE"""),44420.3576851851)</f>
        <v>44420.357685185103</v>
      </c>
    </row>
    <row r="404" spans="1:35" ht="13" x14ac:dyDescent="0.15">
      <c r="A404">
        <f ca="1">IFERROR(__xludf.DUMMYFUNCTION("""COMPUTED_VALUE"""),1342)</f>
        <v>1342</v>
      </c>
      <c r="B404" t="str">
        <f ca="1">IFERROR(__xludf.DUMMYFUNCTION("""COMPUTED_VALUE"""),"Техрейс")</f>
        <v>Техрейс</v>
      </c>
      <c r="C404" t="str">
        <f ca="1">IFERROR(__xludf.DUMMYFUNCTION("""COMPUTED_VALUE"""),"УТС")</f>
        <v>УТС</v>
      </c>
      <c r="D404">
        <f ca="1">IFERROR(__xludf.DUMMYFUNCTION("""COMPUTED_VALUE"""),60420031)</f>
        <v>60420031</v>
      </c>
      <c r="E404" t="str">
        <f ca="1">IFERROR(__xludf.DUMMYFUNCTION("""COMPUTED_VALUE"""),"60 ПОЛУВАГОНЫ")</f>
        <v>60 ПОЛУВАГОНЫ</v>
      </c>
      <c r="F404">
        <f ca="1">IFERROR(__xludf.DUMMYFUNCTION("""COMPUTED_VALUE"""),14109)</f>
        <v>14109</v>
      </c>
      <c r="G404" t="str">
        <f ca="1">IFERROR(__xludf.DUMMYFUNCTION("""COMPUTED_VALUE"""),"ГЕМАТИТ")</f>
        <v>ГЕМАТИТ</v>
      </c>
      <c r="H404">
        <f ca="1">IFERROR(__xludf.DUMMYFUNCTION("""COMPUTED_VALUE"""),70)</f>
        <v>70</v>
      </c>
      <c r="I404">
        <f ca="1">IFERROR(__xludf.DUMMYFUNCTION("""COMPUTED_VALUE"""),5786)</f>
        <v>5786</v>
      </c>
      <c r="J404" t="str">
        <f ca="1">IFERROR(__xludf.DUMMYFUNCTION("""COMPUTED_VALUE"""),"2760 (40050-083-46720) БЕРЕГОВАЯ - КРИВОЙ РОГ")</f>
        <v>2760 (40050-083-46720) БЕРЕГОВАЯ - КРИВОЙ РОГ</v>
      </c>
      <c r="K404">
        <f ca="1">IFERROR(__xludf.DUMMYFUNCTION("""COMPUTED_VALUE"""),40050)</f>
        <v>40050</v>
      </c>
      <c r="L404" t="str">
        <f ca="1">IFERROR(__xludf.DUMMYFUNCTION("""COMPUTED_VALUE"""),"БЕРЕГОВАЯ")</f>
        <v>БЕРЕГОВАЯ</v>
      </c>
      <c r="M404" t="str">
        <f ca="1">IFERROR(__xludf.DUMMYFUNCTION("""COMPUTED_VALUE"""),"12.08.21 01-10")</f>
        <v>12.08.21 01-10</v>
      </c>
      <c r="N404" t="str">
        <f ca="1">IFERROR(__xludf.DUMMYFUNCTION("""COMPUTED_VALUE"""),"21 ВЫГ2")</f>
        <v>21 ВЫГ2</v>
      </c>
      <c r="O404">
        <f ca="1">IFERROR(__xludf.DUMMYFUNCTION("""COMPUTED_VALUE"""),40060)</f>
        <v>40060</v>
      </c>
      <c r="P404" t="str">
        <f ca="1">IFERROR(__xludf.DUMMYFUNCTION("""COMPUTED_VALUE"""),"БЕРЕГОВАЯ-Э")</f>
        <v>БЕРЕГОВАЯ-Э</v>
      </c>
      <c r="Q404">
        <f ca="1">IFERROR(__xludf.DUMMYFUNCTION("""COMPUTED_VALUE"""),46720)</f>
        <v>46720</v>
      </c>
      <c r="R404" t="str">
        <f ca="1">IFERROR(__xludf.DUMMYFUNCTION("""COMPUTED_VALUE"""),"КРИВОЙ РОГ")</f>
        <v>КРИВОЙ РОГ</v>
      </c>
      <c r="S404" t="str">
        <f ca="1">IFERROR(__xludf.DUMMYFUNCTION("""COMPUTED_VALUE"""),"10.08.21 05-30")</f>
        <v>10.08.21 05-30</v>
      </c>
      <c r="U404" t="str">
        <f ca="1">IFERROR(__xludf.DUMMYFUNCTION("""COMPUTED_VALUE"""),"31.03.2024 КР")</f>
        <v>31.03.2024 КР</v>
      </c>
      <c r="Z404" t="str">
        <f ca="1">IFERROR(__xludf.DUMMYFUNCTION("""COMPUTED_VALUE"""),"ООО «УТС»")</f>
        <v>ООО «УТС»</v>
      </c>
      <c r="AA404" t="str">
        <f ca="1">IFERROR(__xludf.DUMMYFUNCTION("""COMPUTED_VALUE"""),"12-9745")</f>
        <v>12-9745</v>
      </c>
      <c r="AB404" t="str">
        <f ca="1">IFERROR(__xludf.DUMMYFUNCTION("""COMPUTED_VALUE"""),"45 ПРИДН")</f>
        <v>45 ПРИДН</v>
      </c>
      <c r="AC404" t="str">
        <f ca="1">IFERROR(__xludf.DUMMYFUNCTION("""COMPUTED_VALUE"""),"46720 КРИВОЙ РОГ")</f>
        <v>46720 КРИВОЙ РОГ</v>
      </c>
      <c r="AD404" t="str">
        <f ca="1">IFERROR(__xludf.DUMMYFUNCTION("""COMPUTED_VALUE"""),"19.07.21 20-05")</f>
        <v>19.07.21 20-05</v>
      </c>
      <c r="AE404" t="str">
        <f ca="1">IFERROR(__xludf.DUMMYFUNCTION("""COMPUTED_VALUE"""),"615 ТРЕЩИНА ВЕРХНЕГО/ВEPТИКАЛЬНОГО ЛИCТA ПOПЕРЕЧНОЙ БAЛКИ PAМЫ")</f>
        <v>615 ТРЕЩИНА ВЕРХНЕГО/ВEPТИКАЛЬНОГО ЛИCТA ПOПЕРЕЧНОЙ БAЛКИ PAМЫ</v>
      </c>
      <c r="AF404" t="str">
        <f ca="1">IFERROR(__xludf.DUMMYFUNCTION("""COMPUTED_VALUE"""),"45 ПРИДН")</f>
        <v>45 ПРИДН</v>
      </c>
      <c r="AG404" t="str">
        <f ca="1">IFERROR(__xludf.DUMMYFUNCTION("""COMPUTED_VALUE"""),"46720 КРИВОЙ РОГ")</f>
        <v>46720 КРИВОЙ РОГ</v>
      </c>
      <c r="AH404" t="str">
        <f ca="1">IFERROR(__xludf.DUMMYFUNCTION("""COMPUTED_VALUE"""),"20.07.21 07-00")</f>
        <v>20.07.21 07-00</v>
      </c>
      <c r="AI404" s="21">
        <f ca="1">IFERROR(__xludf.DUMMYFUNCTION("""COMPUTED_VALUE"""),44420.3576851851)</f>
        <v>44420.357685185103</v>
      </c>
    </row>
    <row r="405" spans="1:35" ht="13" x14ac:dyDescent="0.15">
      <c r="A405">
        <f ca="1">IFERROR(__xludf.DUMMYFUNCTION("""COMPUTED_VALUE"""),1343)</f>
        <v>1343</v>
      </c>
      <c r="B405" t="str">
        <f ca="1">IFERROR(__xludf.DUMMYFUNCTION("""COMPUTED_VALUE"""),"Техрейс")</f>
        <v>Техрейс</v>
      </c>
      <c r="C405" t="str">
        <f ca="1">IFERROR(__xludf.DUMMYFUNCTION("""COMPUTED_VALUE"""),"УТС")</f>
        <v>УТС</v>
      </c>
      <c r="D405">
        <f ca="1">IFERROR(__xludf.DUMMYFUNCTION("""COMPUTED_VALUE"""),60419405)</f>
        <v>60419405</v>
      </c>
      <c r="E405" t="str">
        <f ca="1">IFERROR(__xludf.DUMMYFUNCTION("""COMPUTED_VALUE"""),"60 ПОЛУВАГОНЫ")</f>
        <v>60 ПОЛУВАГОНЫ</v>
      </c>
      <c r="F405">
        <f ca="1">IFERROR(__xludf.DUMMYFUNCTION("""COMPUTED_VALUE"""),43619)</f>
        <v>43619</v>
      </c>
      <c r="G405" t="str">
        <f ca="1">IFERROR(__xludf.DUMMYFUNCTION("""COMPUTED_VALUE"""),"УДОБР ХИМ ПР")</f>
        <v>УДОБР ХИМ ПР</v>
      </c>
      <c r="H405">
        <f ca="1">IFERROR(__xludf.DUMMYFUNCTION("""COMPUTED_VALUE"""),68)</f>
        <v>68</v>
      </c>
      <c r="I405">
        <f ca="1">IFERROR(__xludf.DUMMYFUNCTION("""COMPUTED_VALUE"""),2154)</f>
        <v>2154</v>
      </c>
      <c r="J405" t="str">
        <f ca="1">IFERROR(__xludf.DUMMYFUNCTION("""COMPUTED_VALUE"""),"3004 (46060-012-46300) ЗАПОРОЖЬЕ II - ПОЛОГИ")</f>
        <v>3004 (46060-012-46300) ЗАПОРОЖЬЕ II - ПОЛОГИ</v>
      </c>
      <c r="K405">
        <f ca="1">IFERROR(__xludf.DUMMYFUNCTION("""COMPUTED_VALUE"""),46300)</f>
        <v>46300</v>
      </c>
      <c r="L405" t="str">
        <f ca="1">IFERROR(__xludf.DUMMYFUNCTION("""COMPUTED_VALUE"""),"ПОЛОГИ")</f>
        <v>ПОЛОГИ</v>
      </c>
      <c r="M405" t="str">
        <f ca="1">IFERROR(__xludf.DUMMYFUNCTION("""COMPUTED_VALUE"""),"11.08.21 20-40")</f>
        <v>11.08.21 20-40</v>
      </c>
      <c r="N405" t="str">
        <f ca="1">IFERROR(__xludf.DUMMYFUNCTION("""COMPUTED_VALUE"""),"04 РАСФ")</f>
        <v>04 РАСФ</v>
      </c>
      <c r="O405">
        <f ca="1">IFERROR(__xludf.DUMMYFUNCTION("""COMPUTED_VALUE"""),46310)</f>
        <v>46310</v>
      </c>
      <c r="P405" t="str">
        <f ca="1">IFERROR(__xludf.DUMMYFUNCTION("""COMPUTED_VALUE"""),"ГУЛЯЙПОЛЕ")</f>
        <v>ГУЛЯЙПОЛЕ</v>
      </c>
      <c r="Q405">
        <f ca="1">IFERROR(__xludf.DUMMYFUNCTION("""COMPUTED_VALUE"""),40210)</f>
        <v>40210</v>
      </c>
      <c r="R405" t="str">
        <f ca="1">IFERROR(__xludf.DUMMYFUNCTION("""COMPUTED_VALUE"""),"ЧЕРНО-ПОРТ-Э")</f>
        <v>ЧЕРНО-ПОРТ-Э</v>
      </c>
      <c r="S405" t="str">
        <f ca="1">IFERROR(__xludf.DUMMYFUNCTION("""COMPUTED_VALUE"""),"03.08.21 17-55")</f>
        <v>03.08.21 17-55</v>
      </c>
      <c r="T405">
        <f ca="1">IFERROR(__xludf.DUMMYFUNCTION("""COMPUTED_VALUE"""),4307)</f>
        <v>4307</v>
      </c>
      <c r="U405" t="str">
        <f ca="1">IFERROR(__xludf.DUMMYFUNCTION("""COMPUTED_VALUE"""),"27.03.2024 КР")</f>
        <v>27.03.2024 КР</v>
      </c>
      <c r="Z405" t="str">
        <f ca="1">IFERROR(__xludf.DUMMYFUNCTION("""COMPUTED_VALUE"""),"ООО «УТС»")</f>
        <v>ООО «УТС»</v>
      </c>
      <c r="AA405" t="str">
        <f ca="1">IFERROR(__xludf.DUMMYFUNCTION("""COMPUTED_VALUE"""),"12-9745")</f>
        <v>12-9745</v>
      </c>
      <c r="AB405" t="str">
        <f ca="1">IFERROR(__xludf.DUMMYFUNCTION("""COMPUTED_VALUE"""),"58 Ю-ВОСТ")</f>
        <v>58 Ю-ВОСТ</v>
      </c>
      <c r="AC405" t="str">
        <f ca="1">IFERROR(__xludf.DUMMYFUNCTION("""COMPUTED_VALUE"""),"43830 ВАЛУЙКИ")</f>
        <v>43830 ВАЛУЙКИ</v>
      </c>
      <c r="AD405" t="str">
        <f ca="1">IFERROR(__xludf.DUMMYFUNCTION("""COMPUTED_VALUE"""),"25.03.21 16-10")</f>
        <v>25.03.21 16-10</v>
      </c>
      <c r="AE405" t="str">
        <f ca="1">IFERROR(__xludf.DUMMYFUNCTION("""COMPUTED_VALUE"""),"570 ИCТEК КAЛЕНДАРНЫЙ CPOК ДEПOВCКОГО PEМOНТA")</f>
        <v>570 ИCТEК КAЛЕНДАРНЫЙ CPOК ДEПOВCКОГО PEМOНТA</v>
      </c>
      <c r="AF405" t="str">
        <f ca="1">IFERROR(__xludf.DUMMYFUNCTION("""COMPUTED_VALUE"""),"58 Ю-ВОСТ")</f>
        <v>58 Ю-ВОСТ</v>
      </c>
      <c r="AG405" t="str">
        <f ca="1">IFERROR(__xludf.DUMMYFUNCTION("""COMPUTED_VALUE"""),"43830 ВАЛУЙКИ")</f>
        <v>43830 ВАЛУЙКИ</v>
      </c>
      <c r="AH405" t="str">
        <f ca="1">IFERROR(__xludf.DUMMYFUNCTION("""COMPUTED_VALUE"""),"27.03.21 08-30")</f>
        <v>27.03.21 08-30</v>
      </c>
      <c r="AI405" s="21">
        <f ca="1">IFERROR(__xludf.DUMMYFUNCTION("""COMPUTED_VALUE"""),44420.3576851851)</f>
        <v>44420.357685185103</v>
      </c>
    </row>
    <row r="406" spans="1:35" ht="13" x14ac:dyDescent="0.15">
      <c r="A406">
        <f ca="1">IFERROR(__xludf.DUMMYFUNCTION("""COMPUTED_VALUE"""),1344)</f>
        <v>1344</v>
      </c>
      <c r="B406" t="str">
        <f ca="1">IFERROR(__xludf.DUMMYFUNCTION("""COMPUTED_VALUE"""),"Гран Инвест")</f>
        <v>Гран Инвест</v>
      </c>
      <c r="C406" t="str">
        <f ca="1">IFERROR(__xludf.DUMMYFUNCTION("""COMPUTED_VALUE"""),"Пилар Лоджистик")</f>
        <v>Пилар Лоджистик</v>
      </c>
      <c r="D406">
        <f ca="1">IFERROR(__xludf.DUMMYFUNCTION("""COMPUTED_VALUE"""),53734257)</f>
        <v>53734257</v>
      </c>
      <c r="E406" t="str">
        <f ca="1">IFERROR(__xludf.DUMMYFUNCTION("""COMPUTED_VALUE"""),"68 ГЛУХОДОННЫЕ")</f>
        <v>68 ГЛУХОДОННЫЕ</v>
      </c>
      <c r="F406">
        <f ca="1">IFERROR(__xludf.DUMMYFUNCTION("""COMPUTED_VALUE"""),23239)</f>
        <v>23239</v>
      </c>
      <c r="G406" t="str">
        <f ca="1">IFERROR(__xludf.DUMMYFUNCTION("""COMPUTED_VALUE"""),"ЩЕБЕНЬ ГРАНИТ")</f>
        <v>ЩЕБЕНЬ ГРАНИТ</v>
      </c>
      <c r="H406">
        <f ca="1">IFERROR(__xludf.DUMMYFUNCTION("""COMPUTED_VALUE"""),70)</f>
        <v>70</v>
      </c>
      <c r="I406">
        <f ca="1">IFERROR(__xludf.DUMMYFUNCTION("""COMPUTED_VALUE"""),8537)</f>
        <v>8537</v>
      </c>
      <c r="J406" t="str">
        <f ca="1">IFERROR(__xludf.DUMMYFUNCTION("""COMPUTED_VALUE"""),"3505 (35580-026-35550) ТОМАШГОРОД - САРНЫ")</f>
        <v>3505 (35580-026-35550) ТОМАШГОРОД - САРНЫ</v>
      </c>
      <c r="K406">
        <f ca="1">IFERROR(__xludf.DUMMYFUNCTION("""COMPUTED_VALUE"""),35580)</f>
        <v>35580</v>
      </c>
      <c r="L406" t="str">
        <f ca="1">IFERROR(__xludf.DUMMYFUNCTION("""COMPUTED_VALUE"""),"ТОМАШГОРОД")</f>
        <v>ТОМАШГОРОД</v>
      </c>
      <c r="M406" t="str">
        <f ca="1">IFERROR(__xludf.DUMMYFUNCTION("""COMPUTED_VALUE"""),"11.08.21 16-50")</f>
        <v>11.08.21 16-50</v>
      </c>
      <c r="N406" t="str">
        <f ca="1">IFERROR(__xludf.DUMMYFUNCTION("""COMPUTED_VALUE"""),"91 ПРДР")</f>
        <v>91 ПРДР</v>
      </c>
      <c r="O406">
        <f ca="1">IFERROR(__xludf.DUMMYFUNCTION("""COMPUTED_VALUE"""),35130)</f>
        <v>35130</v>
      </c>
      <c r="P406" t="str">
        <f ca="1">IFERROR(__xludf.DUMMYFUNCTION("""COMPUTED_VALUE"""),"ЯГОДИН")</f>
        <v>ЯГОДИН</v>
      </c>
      <c r="Q406">
        <f ca="1">IFERROR(__xludf.DUMMYFUNCTION("""COMPUTED_VALUE"""),35580)</f>
        <v>35580</v>
      </c>
      <c r="R406" t="str">
        <f ca="1">IFERROR(__xludf.DUMMYFUNCTION("""COMPUTED_VALUE"""),"ТОМАШГОРОД")</f>
        <v>ТОМАШГОРОД</v>
      </c>
      <c r="S406" t="str">
        <f ca="1">IFERROR(__xludf.DUMMYFUNCTION("""COMPUTED_VALUE"""),"11.08.21 16-50")</f>
        <v>11.08.21 16-50</v>
      </c>
      <c r="T406">
        <f ca="1">IFERROR(__xludf.DUMMYFUNCTION("""COMPUTED_VALUE"""),8537)</f>
        <v>8537</v>
      </c>
      <c r="U406" t="str">
        <f ca="1">IFERROR(__xludf.DUMMYFUNCTION("""COMPUTED_VALUE"""),"12.07.2022 ДР")</f>
        <v>12.07.2022 ДР</v>
      </c>
      <c r="Z406" t="str">
        <f ca="1">IFERROR(__xludf.DUMMYFUNCTION("""COMPUTED_VALUE"""),"ООО «ТЕГРА ЛОДЖИСТИКС»")</f>
        <v>ООО «ТЕГРА ЛОДЖИСТИКС»</v>
      </c>
      <c r="AA406" t="str">
        <f ca="1">IFERROR(__xludf.DUMMYFUNCTION("""COMPUTED_VALUE"""),"12-764")</f>
        <v>12-764</v>
      </c>
      <c r="AB406" t="str">
        <f ca="1">IFERROR(__xludf.DUMMYFUNCTION("""COMPUTED_VALUE"""),"35 ЛЬВ")</f>
        <v>35 ЛЬВ</v>
      </c>
      <c r="AC406" t="str">
        <f ca="1">IFERROR(__xludf.DUMMYFUNCTION("""COMPUTED_VALUE"""),"35550 САРНЫ")</f>
        <v>35550 САРНЫ</v>
      </c>
      <c r="AD406" t="str">
        <f ca="1">IFERROR(__xludf.DUMMYFUNCTION("""COMPUTED_VALUE"""),"29.07.21 10-10")</f>
        <v>29.07.21 10-10</v>
      </c>
      <c r="AE406" t="str">
        <f ca="1">IFERROR(__xludf.DUMMYFUNCTION("""COMPUTED_VALUE"""),"503 OБPЫВ CВAPНOГO ШВA CТOЙКИ")</f>
        <v>503 OБPЫВ CВAPНOГO ШВA CТOЙКИ</v>
      </c>
      <c r="AF406" t="str">
        <f ca="1">IFERROR(__xludf.DUMMYFUNCTION("""COMPUTED_VALUE"""),"35 ЛЬВ")</f>
        <v>35 ЛЬВ</v>
      </c>
      <c r="AG406" t="str">
        <f ca="1">IFERROR(__xludf.DUMMYFUNCTION("""COMPUTED_VALUE"""),"35550 САРНЫ")</f>
        <v>35550 САРНЫ</v>
      </c>
      <c r="AH406" t="str">
        <f ca="1">IFERROR(__xludf.DUMMYFUNCTION("""COMPUTED_VALUE"""),"03.08.21 16-20")</f>
        <v>03.08.21 16-20</v>
      </c>
      <c r="AI406" s="21">
        <f ca="1">IFERROR(__xludf.DUMMYFUNCTION("""COMPUTED_VALUE"""),44420.3576851851)</f>
        <v>44420.357685185103</v>
      </c>
    </row>
    <row r="407" spans="1:35" ht="13" x14ac:dyDescent="0.15">
      <c r="A407">
        <f ca="1">IFERROR(__xludf.DUMMYFUNCTION("""COMPUTED_VALUE"""),1347)</f>
        <v>1347</v>
      </c>
      <c r="B407" t="str">
        <f ca="1">IFERROR(__xludf.DUMMYFUNCTION("""COMPUTED_VALUE"""),"Гран Инвест")</f>
        <v>Гран Инвест</v>
      </c>
      <c r="C407" t="str">
        <f ca="1">IFERROR(__xludf.DUMMYFUNCTION("""COMPUTED_VALUE"""),"Пилар Лоджистик")</f>
        <v>Пилар Лоджистик</v>
      </c>
      <c r="D407">
        <f ca="1">IFERROR(__xludf.DUMMYFUNCTION("""COMPUTED_VALUE"""),56724735)</f>
        <v>56724735</v>
      </c>
      <c r="E407" t="str">
        <f ca="1">IFERROR(__xludf.DUMMYFUNCTION("""COMPUTED_VALUE"""),"68 ГЛУХОДОННЫЕ")</f>
        <v>68 ГЛУХОДОННЫЕ</v>
      </c>
      <c r="F407">
        <f ca="1">IFERROR(__xludf.DUMMYFUNCTION("""COMPUTED_VALUE"""),23239)</f>
        <v>23239</v>
      </c>
      <c r="G407" t="str">
        <f ca="1">IFERROR(__xludf.DUMMYFUNCTION("""COMPUTED_VALUE"""),"ЩЕБЕНЬ ГРАНИТ")</f>
        <v>ЩЕБЕНЬ ГРАНИТ</v>
      </c>
      <c r="H407">
        <f ca="1">IFERROR(__xludf.DUMMYFUNCTION("""COMPUTED_VALUE"""),71)</f>
        <v>71</v>
      </c>
      <c r="I407">
        <f ca="1">IFERROR(__xludf.DUMMYFUNCTION("""COMPUTED_VALUE"""),4261)</f>
        <v>4261</v>
      </c>
      <c r="J407" t="str">
        <f ca="1">IFERROR(__xludf.DUMMYFUNCTION("""COMPUTED_VALUE"""),"3505 (35580-026-35550) ТОМАШГОРОД - САРНЫ")</f>
        <v>3505 (35580-026-35550) ТОМАШГОРОД - САРНЫ</v>
      </c>
      <c r="K407">
        <f ca="1">IFERROR(__xludf.DUMMYFUNCTION("""COMPUTED_VALUE"""),35580)</f>
        <v>35580</v>
      </c>
      <c r="L407" t="str">
        <f ca="1">IFERROR(__xludf.DUMMYFUNCTION("""COMPUTED_VALUE"""),"ТОМАШГОРОД")</f>
        <v>ТОМАШГОРОД</v>
      </c>
      <c r="M407" t="str">
        <f ca="1">IFERROR(__xludf.DUMMYFUNCTION("""COMPUTED_VALUE"""),"10.08.21 18-50")</f>
        <v>10.08.21 18-50</v>
      </c>
      <c r="N407" t="str">
        <f ca="1">IFERROR(__xludf.DUMMYFUNCTION("""COMPUTED_VALUE"""),"91 ПРДР")</f>
        <v>91 ПРДР</v>
      </c>
      <c r="O407">
        <f ca="1">IFERROR(__xludf.DUMMYFUNCTION("""COMPUTED_VALUE"""),35260)</f>
        <v>35260</v>
      </c>
      <c r="P407" t="str">
        <f ca="1">IFERROR(__xludf.DUMMYFUNCTION("""COMPUTED_VALUE"""),"ИЗОВ-Э-ПКП")</f>
        <v>ИЗОВ-Э-ПКП</v>
      </c>
      <c r="Q407">
        <f ca="1">IFERROR(__xludf.DUMMYFUNCTION("""COMPUTED_VALUE"""),35580)</f>
        <v>35580</v>
      </c>
      <c r="R407" t="str">
        <f ca="1">IFERROR(__xludf.DUMMYFUNCTION("""COMPUTED_VALUE"""),"ТОМАШГОРОД")</f>
        <v>ТОМАШГОРОД</v>
      </c>
      <c r="S407" t="str">
        <f ca="1">IFERROR(__xludf.DUMMYFUNCTION("""COMPUTED_VALUE"""),"10.08.21 18-50")</f>
        <v>10.08.21 18-50</v>
      </c>
      <c r="T407">
        <f ca="1">IFERROR(__xludf.DUMMYFUNCTION("""COMPUTED_VALUE"""),1406)</f>
        <v>1406</v>
      </c>
      <c r="U407" t="str">
        <f ca="1">IFERROR(__xludf.DUMMYFUNCTION("""COMPUTED_VALUE"""),"06.03.2023 ДР")</f>
        <v>06.03.2023 ДР</v>
      </c>
      <c r="Z407" t="str">
        <f ca="1">IFERROR(__xludf.DUMMYFUNCTION("""COMPUTED_VALUE"""),"ООО «ТЕГРА ЛОДЖИСТИКС»")</f>
        <v>ООО «ТЕГРА ЛОДЖИСТИКС»</v>
      </c>
      <c r="AA407" t="str">
        <f ca="1">IFERROR(__xludf.DUMMYFUNCTION("""COMPUTED_VALUE"""),"12-1592")</f>
        <v>12-1592</v>
      </c>
      <c r="AB407" t="str">
        <f ca="1">IFERROR(__xludf.DUMMYFUNCTION("""COMPUTED_VALUE"""),"35 ЛЬВ")</f>
        <v>35 ЛЬВ</v>
      </c>
      <c r="AC407" t="str">
        <f ca="1">IFERROR(__xludf.DUMMYFUNCTION("""COMPUTED_VALUE"""),"35580 ТОМАШГОРОД")</f>
        <v>35580 ТОМАШГОРОД</v>
      </c>
      <c r="AD407" t="str">
        <f ca="1">IFERROR(__xludf.DUMMYFUNCTION("""COMPUTED_VALUE"""),"01.06.21 01-00")</f>
        <v>01.06.21 01-00</v>
      </c>
      <c r="AE407" t="str">
        <f ca="1">IFERROR(__xludf.DUMMYFUNCTION("""COMPUTED_VALUE"""),"503 OБPЫВ CВAPНOГO ШВA CТOЙКИ")</f>
        <v>503 OБPЫВ CВAPНOГO ШВA CТOЙКИ</v>
      </c>
      <c r="AF407" t="str">
        <f ca="1">IFERROR(__xludf.DUMMYFUNCTION("""COMPUTED_VALUE"""),"35 ЛЬВ")</f>
        <v>35 ЛЬВ</v>
      </c>
      <c r="AG407" t="str">
        <f ca="1">IFERROR(__xludf.DUMMYFUNCTION("""COMPUTED_VALUE"""),"35580 ТОМАШГОРОД")</f>
        <v>35580 ТОМАШГОРОД</v>
      </c>
      <c r="AH407" t="str">
        <f ca="1">IFERROR(__xludf.DUMMYFUNCTION("""COMPUTED_VALUE"""),"01.06.21 02-20")</f>
        <v>01.06.21 02-20</v>
      </c>
      <c r="AI407" s="21">
        <f ca="1">IFERROR(__xludf.DUMMYFUNCTION("""COMPUTED_VALUE"""),44420.3576851851)</f>
        <v>44420.357685185103</v>
      </c>
    </row>
    <row r="408" spans="1:35" ht="13" x14ac:dyDescent="0.15">
      <c r="A408">
        <f ca="1">IFERROR(__xludf.DUMMYFUNCTION("""COMPUTED_VALUE"""),1348)</f>
        <v>1348</v>
      </c>
      <c r="B408" t="str">
        <f ca="1">IFERROR(__xludf.DUMMYFUNCTION("""COMPUTED_VALUE"""),"Гран Инвест")</f>
        <v>Гран Инвест</v>
      </c>
      <c r="C408" t="str">
        <f ca="1">IFERROR(__xludf.DUMMYFUNCTION("""COMPUTED_VALUE"""),"Пилар Лоджистик")</f>
        <v>Пилар Лоджистик</v>
      </c>
      <c r="D408">
        <f ca="1">IFERROR(__xludf.DUMMYFUNCTION("""COMPUTED_VALUE"""),56724586)</f>
        <v>56724586</v>
      </c>
      <c r="E408" t="str">
        <f ca="1">IFERROR(__xludf.DUMMYFUNCTION("""COMPUTED_VALUE"""),"68 ГЛУХОДОННЫЕ")</f>
        <v>68 ГЛУХОДОННЫЕ</v>
      </c>
      <c r="F408">
        <f ca="1">IFERROR(__xludf.DUMMYFUNCTION("""COMPUTED_VALUE"""),42103)</f>
        <v>42103</v>
      </c>
      <c r="G408" t="str">
        <f ca="1">IFERROR(__xludf.DUMMYFUNCTION("""COMPUTED_VALUE"""),"ВАГОНЫ ЖД СВ")</f>
        <v>ВАГОНЫ ЖД СВ</v>
      </c>
      <c r="H408">
        <f ca="1">IFERROR(__xludf.DUMMYFUNCTION("""COMPUTED_VALUE"""),0)</f>
        <v>0</v>
      </c>
      <c r="I408">
        <f ca="1">IFERROR(__xludf.DUMMYFUNCTION("""COMPUTED_VALUE"""),8537)</f>
        <v>8537</v>
      </c>
      <c r="J408" t="str">
        <f ca="1">IFERROR(__xludf.DUMMYFUNCTION("""COMPUTED_VALUE"""),"3602 (35400-050-35550) КОВЕЛЬ - САРНЫ")</f>
        <v>3602 (35400-050-35550) КОВЕЛЬ - САРНЫ</v>
      </c>
      <c r="K408">
        <f ca="1">IFERROR(__xludf.DUMMYFUNCTION("""COMPUTED_VALUE"""),35550)</f>
        <v>35550</v>
      </c>
      <c r="L408" t="str">
        <f ca="1">IFERROR(__xludf.DUMMYFUNCTION("""COMPUTED_VALUE"""),"САРНЫ")</f>
        <v>САРНЫ</v>
      </c>
      <c r="M408" t="str">
        <f ca="1">IFERROR(__xludf.DUMMYFUNCTION("""COMPUTED_VALUE"""),"12.08.21 05-15")</f>
        <v>12.08.21 05-15</v>
      </c>
      <c r="N408" t="str">
        <f ca="1">IFERROR(__xludf.DUMMYFUNCTION("""COMPUTED_VALUE"""),"04 РАСФ")</f>
        <v>04 РАСФ</v>
      </c>
      <c r="O408">
        <f ca="1">IFERROR(__xludf.DUMMYFUNCTION("""COMPUTED_VALUE"""),35580)</f>
        <v>35580</v>
      </c>
      <c r="P408" t="str">
        <f ca="1">IFERROR(__xludf.DUMMYFUNCTION("""COMPUTED_VALUE"""),"ТОМАШГОРОД")</f>
        <v>ТОМАШГОРОД</v>
      </c>
      <c r="Q408">
        <f ca="1">IFERROR(__xludf.DUMMYFUNCTION("""COMPUTED_VALUE"""),35130)</f>
        <v>35130</v>
      </c>
      <c r="R408" t="str">
        <f ca="1">IFERROR(__xludf.DUMMYFUNCTION("""COMPUTED_VALUE"""),"ЯГОДИН")</f>
        <v>ЯГОДИН</v>
      </c>
      <c r="S408" t="str">
        <f ca="1">IFERROR(__xludf.DUMMYFUNCTION("""COMPUTED_VALUE"""),"10.08.21 18-45")</f>
        <v>10.08.21 18-45</v>
      </c>
      <c r="T408">
        <f ca="1">IFERROR(__xludf.DUMMYFUNCTION("""COMPUTED_VALUE"""),8537)</f>
        <v>8537</v>
      </c>
      <c r="U408" t="str">
        <f ca="1">IFERROR(__xludf.DUMMYFUNCTION("""COMPUTED_VALUE"""),"16.10.2021 ДР")</f>
        <v>16.10.2021 ДР</v>
      </c>
      <c r="Z408" t="str">
        <f ca="1">IFERROR(__xludf.DUMMYFUNCTION("""COMPUTED_VALUE"""),"ООО «ТЕГРА ЛОДЖИСТИКС»")</f>
        <v>ООО «ТЕГРА ЛОДЖИСТИКС»</v>
      </c>
      <c r="AA408" t="str">
        <f ca="1">IFERROR(__xludf.DUMMYFUNCTION("""COMPUTED_VALUE"""),"12-1592")</f>
        <v>12-1592</v>
      </c>
      <c r="AB408" t="str">
        <f ca="1">IFERROR(__xludf.DUMMYFUNCTION("""COMPUTED_VALUE"""),"45 ПРИДН")</f>
        <v>45 ПРИДН</v>
      </c>
      <c r="AC408" t="str">
        <f ca="1">IFERROR(__xludf.DUMMYFUNCTION("""COMPUTED_VALUE"""),"45780 ВЕЧЕРНИЙ КУТ")</f>
        <v>45780 ВЕЧЕРНИЙ КУТ</v>
      </c>
      <c r="AD408" t="str">
        <f ca="1">IFERROR(__xludf.DUMMYFUNCTION("""COMPUTED_VALUE"""),"08.03.21 08-30")</f>
        <v>08.03.21 08-30</v>
      </c>
      <c r="AE408" t="str">
        <f ca="1">IFERROR(__xludf.DUMMYFUNCTION("""COMPUTED_VALUE"""),"614 OБPЫВ ПО СВАРКЕ,PAЗPЫВ НAКЛAДOК ПОЛУВАГОНА")</f>
        <v>614 OБPЫВ ПО СВАРКЕ,PAЗPЫВ НAКЛAДOК ПОЛУВАГОНА</v>
      </c>
      <c r="AF408" t="str">
        <f ca="1">IFERROR(__xludf.DUMMYFUNCTION("""COMPUTED_VALUE"""),"45 ПРИДН")</f>
        <v>45 ПРИДН</v>
      </c>
      <c r="AG408" t="str">
        <f ca="1">IFERROR(__xludf.DUMMYFUNCTION("""COMPUTED_VALUE"""),"45780 ВЕЧЕРНИЙ КУТ")</f>
        <v>45780 ВЕЧЕРНИЙ КУТ</v>
      </c>
      <c r="AH408" t="str">
        <f ca="1">IFERROR(__xludf.DUMMYFUNCTION("""COMPUTED_VALUE"""),"08.03.21 18-30")</f>
        <v>08.03.21 18-30</v>
      </c>
      <c r="AI408" s="21">
        <f ca="1">IFERROR(__xludf.DUMMYFUNCTION("""COMPUTED_VALUE"""),44420.3576851851)</f>
        <v>44420.357685185103</v>
      </c>
    </row>
    <row r="409" spans="1:35" ht="13" x14ac:dyDescent="0.15">
      <c r="A409">
        <f ca="1">IFERROR(__xludf.DUMMYFUNCTION("""COMPUTED_VALUE"""),1350)</f>
        <v>1350</v>
      </c>
      <c r="B409" t="str">
        <f ca="1">IFERROR(__xludf.DUMMYFUNCTION("""COMPUTED_VALUE"""),"Гран Инвест")</f>
        <v>Гран Инвест</v>
      </c>
      <c r="C409" t="str">
        <f ca="1">IFERROR(__xludf.DUMMYFUNCTION("""COMPUTED_VALUE"""),"Пилар Лоджистик")</f>
        <v>Пилар Лоджистик</v>
      </c>
      <c r="D409">
        <f ca="1">IFERROR(__xludf.DUMMYFUNCTION("""COMPUTED_VALUE"""),56745656)</f>
        <v>56745656</v>
      </c>
      <c r="E409" t="str">
        <f ca="1">IFERROR(__xludf.DUMMYFUNCTION("""COMPUTED_VALUE"""),"68 ГЛУХОДОННЫЕ")</f>
        <v>68 ГЛУХОДОННЫЕ</v>
      </c>
      <c r="F409">
        <f ca="1">IFERROR(__xludf.DUMMYFUNCTION("""COMPUTED_VALUE"""),23239)</f>
        <v>23239</v>
      </c>
      <c r="G409" t="str">
        <f ca="1">IFERROR(__xludf.DUMMYFUNCTION("""COMPUTED_VALUE"""),"ЩЕБЕНЬ ГРАНИТ")</f>
        <v>ЩЕБЕНЬ ГРАНИТ</v>
      </c>
      <c r="H409">
        <f ca="1">IFERROR(__xludf.DUMMYFUNCTION("""COMPUTED_VALUE"""),71)</f>
        <v>71</v>
      </c>
      <c r="I409">
        <f ca="1">IFERROR(__xludf.DUMMYFUNCTION("""COMPUTED_VALUE"""),4261)</f>
        <v>4261</v>
      </c>
      <c r="J409" t="str">
        <f ca="1">IFERROR(__xludf.DUMMYFUNCTION("""COMPUTED_VALUE"""),"3505 (35580-026-35550) ТОМАШГОРОД - САРНЫ")</f>
        <v>3505 (35580-026-35550) ТОМАШГОРОД - САРНЫ</v>
      </c>
      <c r="K409">
        <f ca="1">IFERROR(__xludf.DUMMYFUNCTION("""COMPUTED_VALUE"""),35580)</f>
        <v>35580</v>
      </c>
      <c r="L409" t="str">
        <f ca="1">IFERROR(__xludf.DUMMYFUNCTION("""COMPUTED_VALUE"""),"ТОМАШГОРОД")</f>
        <v>ТОМАШГОРОД</v>
      </c>
      <c r="M409" t="str">
        <f ca="1">IFERROR(__xludf.DUMMYFUNCTION("""COMPUTED_VALUE"""),"10.08.21 19-20")</f>
        <v>10.08.21 19-20</v>
      </c>
      <c r="N409" t="str">
        <f ca="1">IFERROR(__xludf.DUMMYFUNCTION("""COMPUTED_VALUE"""),"91 ПРДР")</f>
        <v>91 ПРДР</v>
      </c>
      <c r="O409">
        <f ca="1">IFERROR(__xludf.DUMMYFUNCTION("""COMPUTED_VALUE"""),35260)</f>
        <v>35260</v>
      </c>
      <c r="P409" t="str">
        <f ca="1">IFERROR(__xludf.DUMMYFUNCTION("""COMPUTED_VALUE"""),"ИЗОВ-Э-ПКП")</f>
        <v>ИЗОВ-Э-ПКП</v>
      </c>
      <c r="Q409">
        <f ca="1">IFERROR(__xludf.DUMMYFUNCTION("""COMPUTED_VALUE"""),35580)</f>
        <v>35580</v>
      </c>
      <c r="R409" t="str">
        <f ca="1">IFERROR(__xludf.DUMMYFUNCTION("""COMPUTED_VALUE"""),"ТОМАШГОРОД")</f>
        <v>ТОМАШГОРОД</v>
      </c>
      <c r="S409" t="str">
        <f ca="1">IFERROR(__xludf.DUMMYFUNCTION("""COMPUTED_VALUE"""),"10.08.21 19-20")</f>
        <v>10.08.21 19-20</v>
      </c>
      <c r="T409">
        <f ca="1">IFERROR(__xludf.DUMMYFUNCTION("""COMPUTED_VALUE"""),1406)</f>
        <v>1406</v>
      </c>
      <c r="U409" t="str">
        <f ca="1">IFERROR(__xludf.DUMMYFUNCTION("""COMPUTED_VALUE"""),"28.05.2022 ДР")</f>
        <v>28.05.2022 ДР</v>
      </c>
      <c r="Z409" t="str">
        <f ca="1">IFERROR(__xludf.DUMMYFUNCTION("""COMPUTED_VALUE"""),"ООО «ТЕГРА ЛОДЖИСТИКС»")</f>
        <v>ООО «ТЕГРА ЛОДЖИСТИКС»</v>
      </c>
      <c r="AA409" t="str">
        <f ca="1">IFERROR(__xludf.DUMMYFUNCTION("""COMPUTED_VALUE"""),"12-1592")</f>
        <v>12-1592</v>
      </c>
      <c r="AB409" t="str">
        <f ca="1">IFERROR(__xludf.DUMMYFUNCTION("""COMPUTED_VALUE"""),"35 ЛЬВ")</f>
        <v>35 ЛЬВ</v>
      </c>
      <c r="AC409" t="str">
        <f ca="1">IFERROR(__xludf.DUMMYFUNCTION("""COMPUTED_VALUE"""),"35400 КОВЕЛЬ")</f>
        <v>35400 КОВЕЛЬ</v>
      </c>
      <c r="AD409" t="str">
        <f ca="1">IFERROR(__xludf.DUMMYFUNCTION("""COMPUTED_VALUE"""),"22.04.21 14-31")</f>
        <v>22.04.21 14-31</v>
      </c>
      <c r="AE409" t="str">
        <f ca="1">IFERROR(__xludf.DUMMYFUNCTION("""COMPUTED_VALUE"""),"405 НEИCПPAВНOCТЬ КOНЦEВOГO КPAНA")</f>
        <v>405 НEИCПPAВНOCТЬ КOНЦEВOГO КPAНA</v>
      </c>
      <c r="AF409" t="str">
        <f ca="1">IFERROR(__xludf.DUMMYFUNCTION("""COMPUTED_VALUE"""),"35 ЛЬВ")</f>
        <v>35 ЛЬВ</v>
      </c>
      <c r="AG409" t="str">
        <f ca="1">IFERROR(__xludf.DUMMYFUNCTION("""COMPUTED_VALUE"""),"35400 КОВЕЛЬ")</f>
        <v>35400 КОВЕЛЬ</v>
      </c>
      <c r="AH409" t="str">
        <f ca="1">IFERROR(__xludf.DUMMYFUNCTION("""COMPUTED_VALUE"""),"07.05.21 17-30")</f>
        <v>07.05.21 17-30</v>
      </c>
      <c r="AI409" s="21">
        <f ca="1">IFERROR(__xludf.DUMMYFUNCTION("""COMPUTED_VALUE"""),44420.3576851851)</f>
        <v>44420.357685185103</v>
      </c>
    </row>
    <row r="410" spans="1:35" ht="13" x14ac:dyDescent="0.15">
      <c r="A410">
        <f ca="1">IFERROR(__xludf.DUMMYFUNCTION("""COMPUTED_VALUE"""),1351)</f>
        <v>1351</v>
      </c>
      <c r="B410" t="str">
        <f ca="1">IFERROR(__xludf.DUMMYFUNCTION("""COMPUTED_VALUE"""),"Гран Инвест")</f>
        <v>Гран Инвест</v>
      </c>
      <c r="C410" t="str">
        <f ca="1">IFERROR(__xludf.DUMMYFUNCTION("""COMPUTED_VALUE"""),"Пилар Лоджистик")</f>
        <v>Пилар Лоджистик</v>
      </c>
      <c r="D410">
        <f ca="1">IFERROR(__xludf.DUMMYFUNCTION("""COMPUTED_VALUE"""),56724602)</f>
        <v>56724602</v>
      </c>
      <c r="E410" t="str">
        <f ca="1">IFERROR(__xludf.DUMMYFUNCTION("""COMPUTED_VALUE"""),"68 ГЛУХОДОННЫЕ")</f>
        <v>68 ГЛУХОДОННЫЕ</v>
      </c>
      <c r="F410">
        <f ca="1">IFERROR(__xludf.DUMMYFUNCTION("""COMPUTED_VALUE"""),42103)</f>
        <v>42103</v>
      </c>
      <c r="G410" t="str">
        <f ca="1">IFERROR(__xludf.DUMMYFUNCTION("""COMPUTED_VALUE"""),"ВАГОНЫ ЖД СВ")</f>
        <v>ВАГОНЫ ЖД СВ</v>
      </c>
      <c r="H410">
        <f ca="1">IFERROR(__xludf.DUMMYFUNCTION("""COMPUTED_VALUE"""),0)</f>
        <v>0</v>
      </c>
      <c r="I410">
        <f ca="1">IFERROR(__xludf.DUMMYFUNCTION("""COMPUTED_VALUE"""),8537)</f>
        <v>8537</v>
      </c>
      <c r="J410" t="str">
        <f ca="1">IFERROR(__xludf.DUMMYFUNCTION("""COMPUTED_VALUE"""),"3602 (35400-050-35550) КОВЕЛЬ - САРНЫ")</f>
        <v>3602 (35400-050-35550) КОВЕЛЬ - САРНЫ</v>
      </c>
      <c r="K410">
        <f ca="1">IFERROR(__xludf.DUMMYFUNCTION("""COMPUTED_VALUE"""),35550)</f>
        <v>35550</v>
      </c>
      <c r="L410" t="str">
        <f ca="1">IFERROR(__xludf.DUMMYFUNCTION("""COMPUTED_VALUE"""),"САРНЫ")</f>
        <v>САРНЫ</v>
      </c>
      <c r="M410" t="str">
        <f ca="1">IFERROR(__xludf.DUMMYFUNCTION("""COMPUTED_VALUE"""),"12.08.21 05-15")</f>
        <v>12.08.21 05-15</v>
      </c>
      <c r="N410" t="str">
        <f ca="1">IFERROR(__xludf.DUMMYFUNCTION("""COMPUTED_VALUE"""),"04 РАСФ")</f>
        <v>04 РАСФ</v>
      </c>
      <c r="O410">
        <f ca="1">IFERROR(__xludf.DUMMYFUNCTION("""COMPUTED_VALUE"""),35580)</f>
        <v>35580</v>
      </c>
      <c r="P410" t="str">
        <f ca="1">IFERROR(__xludf.DUMMYFUNCTION("""COMPUTED_VALUE"""),"ТОМАШГОРОД")</f>
        <v>ТОМАШГОРОД</v>
      </c>
      <c r="Q410">
        <f ca="1">IFERROR(__xludf.DUMMYFUNCTION("""COMPUTED_VALUE"""),35130)</f>
        <v>35130</v>
      </c>
      <c r="R410" t="str">
        <f ca="1">IFERROR(__xludf.DUMMYFUNCTION("""COMPUTED_VALUE"""),"ЯГОДИН")</f>
        <v>ЯГОДИН</v>
      </c>
      <c r="S410" t="str">
        <f ca="1">IFERROR(__xludf.DUMMYFUNCTION("""COMPUTED_VALUE"""),"10.08.21 18-45")</f>
        <v>10.08.21 18-45</v>
      </c>
      <c r="T410">
        <f ca="1">IFERROR(__xludf.DUMMYFUNCTION("""COMPUTED_VALUE"""),8537)</f>
        <v>8537</v>
      </c>
      <c r="U410" t="str">
        <f ca="1">IFERROR(__xludf.DUMMYFUNCTION("""COMPUTED_VALUE"""),"13.08.2022 ДР")</f>
        <v>13.08.2022 ДР</v>
      </c>
      <c r="Z410" t="str">
        <f ca="1">IFERROR(__xludf.DUMMYFUNCTION("""COMPUTED_VALUE"""),"ООО «ТЕГРА ЛОДЖИСТИКС»")</f>
        <v>ООО «ТЕГРА ЛОДЖИСТИКС»</v>
      </c>
      <c r="AA410" t="str">
        <f ca="1">IFERROR(__xludf.DUMMYFUNCTION("""COMPUTED_VALUE"""),"12-1592")</f>
        <v>12-1592</v>
      </c>
      <c r="AB410" t="str">
        <f ca="1">IFERROR(__xludf.DUMMYFUNCTION("""COMPUTED_VALUE"""),"35 ЛЬВ")</f>
        <v>35 ЛЬВ</v>
      </c>
      <c r="AC410" t="str">
        <f ca="1">IFERROR(__xludf.DUMMYFUNCTION("""COMPUTED_VALUE"""),"35550 САРНЫ")</f>
        <v>35550 САРНЫ</v>
      </c>
      <c r="AD410" t="str">
        <f ca="1">IFERROR(__xludf.DUMMYFUNCTION("""COMPUTED_VALUE"""),"07.05.21 11-30")</f>
        <v>07.05.21 11-30</v>
      </c>
      <c r="AE410" t="str">
        <f ca="1">IFERROR(__xludf.DUMMYFUNCTION("""COMPUTED_VALUE"""),"503 OБPЫВ CВAPНOГO ШВA CТOЙКИ")</f>
        <v>503 OБPЫВ CВAPНOГO ШВA CТOЙКИ</v>
      </c>
      <c r="AF410" t="str">
        <f ca="1">IFERROR(__xludf.DUMMYFUNCTION("""COMPUTED_VALUE"""),"35 ЛЬВ")</f>
        <v>35 ЛЬВ</v>
      </c>
      <c r="AG410" t="str">
        <f ca="1">IFERROR(__xludf.DUMMYFUNCTION("""COMPUTED_VALUE"""),"35550 САРНЫ")</f>
        <v>35550 САРНЫ</v>
      </c>
      <c r="AH410" t="str">
        <f ca="1">IFERROR(__xludf.DUMMYFUNCTION("""COMPUTED_VALUE"""),"28.05.21 11-20")</f>
        <v>28.05.21 11-20</v>
      </c>
      <c r="AI410" s="21">
        <f ca="1">IFERROR(__xludf.DUMMYFUNCTION("""COMPUTED_VALUE"""),44420.3576851851)</f>
        <v>44420.357685185103</v>
      </c>
    </row>
    <row r="411" spans="1:35" ht="13" x14ac:dyDescent="0.15">
      <c r="A411">
        <f ca="1">IFERROR(__xludf.DUMMYFUNCTION("""COMPUTED_VALUE"""),1354)</f>
        <v>1354</v>
      </c>
      <c r="B411" t="str">
        <f ca="1">IFERROR(__xludf.DUMMYFUNCTION("""COMPUTED_VALUE"""),"Гран Инвест")</f>
        <v>Гран Инвест</v>
      </c>
      <c r="C411" t="str">
        <f ca="1">IFERROR(__xludf.DUMMYFUNCTION("""COMPUTED_VALUE"""),"Пилар Лоджистик")</f>
        <v>Пилар Лоджистик</v>
      </c>
      <c r="D411">
        <f ca="1">IFERROR(__xludf.DUMMYFUNCTION("""COMPUTED_VALUE"""),56758907)</f>
        <v>56758907</v>
      </c>
      <c r="E411" t="str">
        <f ca="1">IFERROR(__xludf.DUMMYFUNCTION("""COMPUTED_VALUE"""),"68 ГЛУХОДОННЫЕ")</f>
        <v>68 ГЛУХОДОННЫЕ</v>
      </c>
      <c r="F411">
        <f ca="1">IFERROR(__xludf.DUMMYFUNCTION("""COMPUTED_VALUE"""),42103)</f>
        <v>42103</v>
      </c>
      <c r="G411" t="str">
        <f ca="1">IFERROR(__xludf.DUMMYFUNCTION("""COMPUTED_VALUE"""),"ВАГОНЫ ЖД СВ")</f>
        <v>ВАГОНЫ ЖД СВ</v>
      </c>
      <c r="H411">
        <f ca="1">IFERROR(__xludf.DUMMYFUNCTION("""COMPUTED_VALUE"""),0)</f>
        <v>0</v>
      </c>
      <c r="I411">
        <f ca="1">IFERROR(__xludf.DUMMYFUNCTION("""COMPUTED_VALUE"""),8537)</f>
        <v>8537</v>
      </c>
      <c r="J411" t="str">
        <f ca="1">IFERROR(__xludf.DUMMYFUNCTION("""COMPUTED_VALUE"""),"3602 (35400-050-35550) КОВЕЛЬ - САРНЫ")</f>
        <v>3602 (35400-050-35550) КОВЕЛЬ - САРНЫ</v>
      </c>
      <c r="K411">
        <f ca="1">IFERROR(__xludf.DUMMYFUNCTION("""COMPUTED_VALUE"""),35550)</f>
        <v>35550</v>
      </c>
      <c r="L411" t="str">
        <f ca="1">IFERROR(__xludf.DUMMYFUNCTION("""COMPUTED_VALUE"""),"САРНЫ")</f>
        <v>САРНЫ</v>
      </c>
      <c r="M411" t="str">
        <f ca="1">IFERROR(__xludf.DUMMYFUNCTION("""COMPUTED_VALUE"""),"12.08.21 05-15")</f>
        <v>12.08.21 05-15</v>
      </c>
      <c r="N411" t="str">
        <f ca="1">IFERROR(__xludf.DUMMYFUNCTION("""COMPUTED_VALUE"""),"04 РАСФ")</f>
        <v>04 РАСФ</v>
      </c>
      <c r="O411">
        <f ca="1">IFERROR(__xludf.DUMMYFUNCTION("""COMPUTED_VALUE"""),35580)</f>
        <v>35580</v>
      </c>
      <c r="P411" t="str">
        <f ca="1">IFERROR(__xludf.DUMMYFUNCTION("""COMPUTED_VALUE"""),"ТОМАШГОРОД")</f>
        <v>ТОМАШГОРОД</v>
      </c>
      <c r="Q411">
        <f ca="1">IFERROR(__xludf.DUMMYFUNCTION("""COMPUTED_VALUE"""),35130)</f>
        <v>35130</v>
      </c>
      <c r="R411" t="str">
        <f ca="1">IFERROR(__xludf.DUMMYFUNCTION("""COMPUTED_VALUE"""),"ЯГОДИН")</f>
        <v>ЯГОДИН</v>
      </c>
      <c r="S411" t="str">
        <f ca="1">IFERROR(__xludf.DUMMYFUNCTION("""COMPUTED_VALUE"""),"10.08.21 18-45")</f>
        <v>10.08.21 18-45</v>
      </c>
      <c r="T411">
        <f ca="1">IFERROR(__xludf.DUMMYFUNCTION("""COMPUTED_VALUE"""),8537)</f>
        <v>8537</v>
      </c>
      <c r="U411" t="str">
        <f ca="1">IFERROR(__xludf.DUMMYFUNCTION("""COMPUTED_VALUE"""),"25.09.2022 ДР")</f>
        <v>25.09.2022 ДР</v>
      </c>
      <c r="Z411" t="str">
        <f ca="1">IFERROR(__xludf.DUMMYFUNCTION("""COMPUTED_VALUE"""),"ООО «ТЕГРА ЛОДЖИСТИКС»")</f>
        <v>ООО «ТЕГРА ЛОДЖИСТИКС»</v>
      </c>
      <c r="AA411" t="str">
        <f ca="1">IFERROR(__xludf.DUMMYFUNCTION("""COMPUTED_VALUE"""),"12-764")</f>
        <v>12-764</v>
      </c>
      <c r="AB411" t="str">
        <f ca="1">IFERROR(__xludf.DUMMYFUNCTION("""COMPUTED_VALUE"""),"48 ДОН")</f>
        <v>48 ДОН</v>
      </c>
      <c r="AC411" t="str">
        <f ca="1">IFERROR(__xludf.DUMMYFUNCTION("""COMPUTED_VALUE"""),"48560 МАРИУП-СОРТ")</f>
        <v>48560 МАРИУП-СОРТ</v>
      </c>
      <c r="AD411" t="str">
        <f ca="1">IFERROR(__xludf.DUMMYFUNCTION("""COMPUTED_VALUE"""),"13.05.20 00-33")</f>
        <v>13.05.20 00-33</v>
      </c>
      <c r="AE411" t="str">
        <f ca="1">IFERROR(__xludf.DUMMYFUNCTION("""COMPUTED_VALUE"""),"400")</f>
        <v>400</v>
      </c>
      <c r="AF411" t="str">
        <f ca="1">IFERROR(__xludf.DUMMYFUNCTION("""COMPUTED_VALUE"""),"48 ДОН")</f>
        <v>48 ДОН</v>
      </c>
      <c r="AG411" t="str">
        <f ca="1">IFERROR(__xludf.DUMMYFUNCTION("""COMPUTED_VALUE"""),"48560 МАРИУП-СОРТ")</f>
        <v>48560 МАРИУП-СОРТ</v>
      </c>
      <c r="AH411" t="str">
        <f ca="1">IFERROR(__xludf.DUMMYFUNCTION("""COMPUTED_VALUE"""),"13.05.20 18-05")</f>
        <v>13.05.20 18-05</v>
      </c>
      <c r="AI411" s="21">
        <f ca="1">IFERROR(__xludf.DUMMYFUNCTION("""COMPUTED_VALUE"""),44420.3576851851)</f>
        <v>44420.357685185103</v>
      </c>
    </row>
    <row r="412" spans="1:35" ht="13" x14ac:dyDescent="0.15">
      <c r="A412">
        <f ca="1">IFERROR(__xludf.DUMMYFUNCTION("""COMPUTED_VALUE"""),1356)</f>
        <v>1356</v>
      </c>
      <c r="B412" t="str">
        <f ca="1">IFERROR(__xludf.DUMMYFUNCTION("""COMPUTED_VALUE"""),"Гран Инвест")</f>
        <v>Гран Инвест</v>
      </c>
      <c r="C412" t="str">
        <f ca="1">IFERROR(__xludf.DUMMYFUNCTION("""COMPUTED_VALUE"""),"Пилар Лоджистик")</f>
        <v>Пилар Лоджистик</v>
      </c>
      <c r="D412">
        <f ca="1">IFERROR(__xludf.DUMMYFUNCTION("""COMPUTED_VALUE"""),53733762)</f>
        <v>53733762</v>
      </c>
      <c r="E412" t="str">
        <f ca="1">IFERROR(__xludf.DUMMYFUNCTION("""COMPUTED_VALUE"""),"68 ГЛУХОДОННЫЕ")</f>
        <v>68 ГЛУХОДОННЫЕ</v>
      </c>
      <c r="F412">
        <f ca="1">IFERROR(__xludf.DUMMYFUNCTION("""COMPUTED_VALUE"""),42103)</f>
        <v>42103</v>
      </c>
      <c r="G412" t="str">
        <f ca="1">IFERROR(__xludf.DUMMYFUNCTION("""COMPUTED_VALUE"""),"ВАГОНЫ ЖД СВ")</f>
        <v>ВАГОНЫ ЖД СВ</v>
      </c>
      <c r="H412">
        <f ca="1">IFERROR(__xludf.DUMMYFUNCTION("""COMPUTED_VALUE"""),0)</f>
        <v>0</v>
      </c>
      <c r="I412">
        <f ca="1">IFERROR(__xludf.DUMMYFUNCTION("""COMPUTED_VALUE"""),8537)</f>
        <v>8537</v>
      </c>
      <c r="J412" t="str">
        <f ca="1">IFERROR(__xludf.DUMMYFUNCTION("""COMPUTED_VALUE"""),"3602 (35400-050-35550) КОВЕЛЬ - САРНЫ")</f>
        <v>3602 (35400-050-35550) КОВЕЛЬ - САРНЫ</v>
      </c>
      <c r="K412">
        <f ca="1">IFERROR(__xludf.DUMMYFUNCTION("""COMPUTED_VALUE"""),35550)</f>
        <v>35550</v>
      </c>
      <c r="L412" t="str">
        <f ca="1">IFERROR(__xludf.DUMMYFUNCTION("""COMPUTED_VALUE"""),"САРНЫ")</f>
        <v>САРНЫ</v>
      </c>
      <c r="M412" t="str">
        <f ca="1">IFERROR(__xludf.DUMMYFUNCTION("""COMPUTED_VALUE"""),"12.08.21 05-15")</f>
        <v>12.08.21 05-15</v>
      </c>
      <c r="N412" t="str">
        <f ca="1">IFERROR(__xludf.DUMMYFUNCTION("""COMPUTED_VALUE"""),"04 РАСФ")</f>
        <v>04 РАСФ</v>
      </c>
      <c r="O412">
        <f ca="1">IFERROR(__xludf.DUMMYFUNCTION("""COMPUTED_VALUE"""),35580)</f>
        <v>35580</v>
      </c>
      <c r="P412" t="str">
        <f ca="1">IFERROR(__xludf.DUMMYFUNCTION("""COMPUTED_VALUE"""),"ТОМАШГОРОД")</f>
        <v>ТОМАШГОРОД</v>
      </c>
      <c r="Q412">
        <f ca="1">IFERROR(__xludf.DUMMYFUNCTION("""COMPUTED_VALUE"""),35130)</f>
        <v>35130</v>
      </c>
      <c r="R412" t="str">
        <f ca="1">IFERROR(__xludf.DUMMYFUNCTION("""COMPUTED_VALUE"""),"ЯГОДИН")</f>
        <v>ЯГОДИН</v>
      </c>
      <c r="S412" t="str">
        <f ca="1">IFERROR(__xludf.DUMMYFUNCTION("""COMPUTED_VALUE"""),"10.08.21 18-45")</f>
        <v>10.08.21 18-45</v>
      </c>
      <c r="T412">
        <f ca="1">IFERROR(__xludf.DUMMYFUNCTION("""COMPUTED_VALUE"""),8537)</f>
        <v>8537</v>
      </c>
      <c r="U412" t="str">
        <f ca="1">IFERROR(__xludf.DUMMYFUNCTION("""COMPUTED_VALUE"""),"07.11.2022 ДР")</f>
        <v>07.11.2022 ДР</v>
      </c>
      <c r="Z412" t="str">
        <f ca="1">IFERROR(__xludf.DUMMYFUNCTION("""COMPUTED_VALUE"""),"ООО «ТЕГРА ЛОДЖИСТИКС»")</f>
        <v>ООО «ТЕГРА ЛОДЖИСТИКС»</v>
      </c>
      <c r="AA412" t="str">
        <f ca="1">IFERROR(__xludf.DUMMYFUNCTION("""COMPUTED_VALUE"""),"12-764")</f>
        <v>12-764</v>
      </c>
      <c r="AB412" t="str">
        <f ca="1">IFERROR(__xludf.DUMMYFUNCTION("""COMPUTED_VALUE"""),"48 ДОН")</f>
        <v>48 ДОН</v>
      </c>
      <c r="AC412" t="str">
        <f ca="1">IFERROR(__xludf.DUMMYFUNCTION("""COMPUTED_VALUE"""),"48200 ПОКРОВСК")</f>
        <v>48200 ПОКРОВСК</v>
      </c>
      <c r="AD412" t="str">
        <f ca="1">IFERROR(__xludf.DUMMYFUNCTION("""COMPUTED_VALUE"""),"31.10.19 18-00")</f>
        <v>31.10.19 18-00</v>
      </c>
      <c r="AE412" t="str">
        <f ca="1">IFERROR(__xludf.DUMMYFUNCTION("""COMPUTED_VALUE"""),"571 ИCТEК КAЛЕНДАРНЫЙ CPOК КAПИТAЛЬНОГО PEМOНТA")</f>
        <v>571 ИCТEК КAЛЕНДАРНЫЙ CPOК КAПИТAЛЬНОГО PEМOНТA</v>
      </c>
      <c r="AF412" t="str">
        <f ca="1">IFERROR(__xludf.DUMMYFUNCTION("""COMPUTED_VALUE"""),"48 ДОН")</f>
        <v>48 ДОН</v>
      </c>
      <c r="AG412" t="str">
        <f ca="1">IFERROR(__xludf.DUMMYFUNCTION("""COMPUTED_VALUE"""),"48200 ПОКРОВСК")</f>
        <v>48200 ПОКРОВСК</v>
      </c>
      <c r="AH412" t="str">
        <f ca="1">IFERROR(__xludf.DUMMYFUNCTION("""COMPUTED_VALUE"""),"07.11.19 16-00")</f>
        <v>07.11.19 16-00</v>
      </c>
      <c r="AI412" s="21">
        <f ca="1">IFERROR(__xludf.DUMMYFUNCTION("""COMPUTED_VALUE"""),44420.3576851851)</f>
        <v>44420.357685185103</v>
      </c>
    </row>
    <row r="413" spans="1:35" ht="13" x14ac:dyDescent="0.15">
      <c r="A413">
        <f ca="1">IFERROR(__xludf.DUMMYFUNCTION("""COMPUTED_VALUE"""),1357)</f>
        <v>1357</v>
      </c>
      <c r="B413" t="str">
        <f ca="1">IFERROR(__xludf.DUMMYFUNCTION("""COMPUTED_VALUE"""),"Гран Инвест")</f>
        <v>Гран Инвест</v>
      </c>
      <c r="C413" t="str">
        <f ca="1">IFERROR(__xludf.DUMMYFUNCTION("""COMPUTED_VALUE"""),"Пилар Лоджистик")</f>
        <v>Пилар Лоджистик</v>
      </c>
      <c r="D413">
        <f ca="1">IFERROR(__xludf.DUMMYFUNCTION("""COMPUTED_VALUE"""),56724511)</f>
        <v>56724511</v>
      </c>
      <c r="E413" t="str">
        <f ca="1">IFERROR(__xludf.DUMMYFUNCTION("""COMPUTED_VALUE"""),"68 ГЛУХОДОННЫЕ")</f>
        <v>68 ГЛУХОДОННЫЕ</v>
      </c>
      <c r="F413">
        <f ca="1">IFERROR(__xludf.DUMMYFUNCTION("""COMPUTED_VALUE"""),23239)</f>
        <v>23239</v>
      </c>
      <c r="G413" t="str">
        <f ca="1">IFERROR(__xludf.DUMMYFUNCTION("""COMPUTED_VALUE"""),"ЩЕБЕНЬ ГРАНИТ")</f>
        <v>ЩЕБЕНЬ ГРАНИТ</v>
      </c>
      <c r="H413">
        <f ca="1">IFERROR(__xludf.DUMMYFUNCTION("""COMPUTED_VALUE"""),71)</f>
        <v>71</v>
      </c>
      <c r="I413">
        <f ca="1">IFERROR(__xludf.DUMMYFUNCTION("""COMPUTED_VALUE"""),8537)</f>
        <v>8537</v>
      </c>
      <c r="J413" t="str">
        <f ca="1">IFERROR(__xludf.DUMMYFUNCTION("""COMPUTED_VALUE"""),"3505 (35580-026-35550) ТОМАШГОРОД - САРНЫ")</f>
        <v>3505 (35580-026-35550) ТОМАШГОРОД - САРНЫ</v>
      </c>
      <c r="K413">
        <f ca="1">IFERROR(__xludf.DUMMYFUNCTION("""COMPUTED_VALUE"""),35580)</f>
        <v>35580</v>
      </c>
      <c r="L413" t="str">
        <f ca="1">IFERROR(__xludf.DUMMYFUNCTION("""COMPUTED_VALUE"""),"ТОМАШГОРОД")</f>
        <v>ТОМАШГОРОД</v>
      </c>
      <c r="M413" t="str">
        <f ca="1">IFERROR(__xludf.DUMMYFUNCTION("""COMPUTED_VALUE"""),"11.08.21 16-50")</f>
        <v>11.08.21 16-50</v>
      </c>
      <c r="N413" t="str">
        <f ca="1">IFERROR(__xludf.DUMMYFUNCTION("""COMPUTED_VALUE"""),"91 ПРДР")</f>
        <v>91 ПРДР</v>
      </c>
      <c r="O413">
        <f ca="1">IFERROR(__xludf.DUMMYFUNCTION("""COMPUTED_VALUE"""),35130)</f>
        <v>35130</v>
      </c>
      <c r="P413" t="str">
        <f ca="1">IFERROR(__xludf.DUMMYFUNCTION("""COMPUTED_VALUE"""),"ЯГОДИН")</f>
        <v>ЯГОДИН</v>
      </c>
      <c r="Q413">
        <f ca="1">IFERROR(__xludf.DUMMYFUNCTION("""COMPUTED_VALUE"""),35580)</f>
        <v>35580</v>
      </c>
      <c r="R413" t="str">
        <f ca="1">IFERROR(__xludf.DUMMYFUNCTION("""COMPUTED_VALUE"""),"ТОМАШГОРОД")</f>
        <v>ТОМАШГОРОД</v>
      </c>
      <c r="S413" t="str">
        <f ca="1">IFERROR(__xludf.DUMMYFUNCTION("""COMPUTED_VALUE"""),"11.08.21 16-50")</f>
        <v>11.08.21 16-50</v>
      </c>
      <c r="T413">
        <f ca="1">IFERROR(__xludf.DUMMYFUNCTION("""COMPUTED_VALUE"""),8537)</f>
        <v>8537</v>
      </c>
      <c r="U413" t="str">
        <f ca="1">IFERROR(__xludf.DUMMYFUNCTION("""COMPUTED_VALUE"""),"07.11.2022 ДР")</f>
        <v>07.11.2022 ДР</v>
      </c>
      <c r="Z413" t="str">
        <f ca="1">IFERROR(__xludf.DUMMYFUNCTION("""COMPUTED_VALUE"""),"ООО «ТЕГРА ЛОДЖИСТИКС»")</f>
        <v>ООО «ТЕГРА ЛОДЖИСТИКС»</v>
      </c>
      <c r="AA413" t="str">
        <f ca="1">IFERROR(__xludf.DUMMYFUNCTION("""COMPUTED_VALUE"""),"12-1592")</f>
        <v>12-1592</v>
      </c>
      <c r="AB413" t="str">
        <f ca="1">IFERROR(__xludf.DUMMYFUNCTION("""COMPUTED_VALUE"""),"35 ЛЬВ")</f>
        <v>35 ЛЬВ</v>
      </c>
      <c r="AC413" t="str">
        <f ca="1">IFERROR(__xludf.DUMMYFUNCTION("""COMPUTED_VALUE"""),"35550 САРНЫ")</f>
        <v>35550 САРНЫ</v>
      </c>
      <c r="AD413" t="str">
        <f ca="1">IFERROR(__xludf.DUMMYFUNCTION("""COMPUTED_VALUE"""),"29.07.21 10-10")</f>
        <v>29.07.21 10-10</v>
      </c>
      <c r="AE413" t="str">
        <f ca="1">IFERROR(__xludf.DUMMYFUNCTION("""COMPUTED_VALUE"""),"503 OБPЫВ CВAPНOГO ШВA CТOЙКИ")</f>
        <v>503 OБPЫВ CВAPНOГO ШВA CТOЙКИ</v>
      </c>
      <c r="AF413" t="str">
        <f ca="1">IFERROR(__xludf.DUMMYFUNCTION("""COMPUTED_VALUE"""),"35 ЛЬВ")</f>
        <v>35 ЛЬВ</v>
      </c>
      <c r="AG413" t="str">
        <f ca="1">IFERROR(__xludf.DUMMYFUNCTION("""COMPUTED_VALUE"""),"35550 САРНЫ")</f>
        <v>35550 САРНЫ</v>
      </c>
      <c r="AH413" t="str">
        <f ca="1">IFERROR(__xludf.DUMMYFUNCTION("""COMPUTED_VALUE"""),"03.08.21 16-20")</f>
        <v>03.08.21 16-20</v>
      </c>
      <c r="AI413" s="21">
        <f ca="1">IFERROR(__xludf.DUMMYFUNCTION("""COMPUTED_VALUE"""),44420.3576851851)</f>
        <v>44420.357685185103</v>
      </c>
    </row>
    <row r="414" spans="1:35" ht="13" x14ac:dyDescent="0.15">
      <c r="A414">
        <f ca="1">IFERROR(__xludf.DUMMYFUNCTION("""COMPUTED_VALUE"""),1358)</f>
        <v>1358</v>
      </c>
      <c r="B414" t="str">
        <f ca="1">IFERROR(__xludf.DUMMYFUNCTION("""COMPUTED_VALUE"""),"Гран Инвест")</f>
        <v>Гран Инвест</v>
      </c>
      <c r="C414" t="str">
        <f ca="1">IFERROR(__xludf.DUMMYFUNCTION("""COMPUTED_VALUE"""),"Пилар Лоджистик")</f>
        <v>Пилар Лоджистик</v>
      </c>
      <c r="D414">
        <f ca="1">IFERROR(__xludf.DUMMYFUNCTION("""COMPUTED_VALUE"""),56724867)</f>
        <v>56724867</v>
      </c>
      <c r="E414" t="str">
        <f ca="1">IFERROR(__xludf.DUMMYFUNCTION("""COMPUTED_VALUE"""),"68 ГЛУХОДОННЫЕ")</f>
        <v>68 ГЛУХОДОННЫЕ</v>
      </c>
      <c r="F414">
        <f ca="1">IFERROR(__xludf.DUMMYFUNCTION("""COMPUTED_VALUE"""),23239)</f>
        <v>23239</v>
      </c>
      <c r="G414" t="str">
        <f ca="1">IFERROR(__xludf.DUMMYFUNCTION("""COMPUTED_VALUE"""),"ЩЕБЕНЬ ГРАНИТ")</f>
        <v>ЩЕБЕНЬ ГРАНИТ</v>
      </c>
      <c r="H414">
        <f ca="1">IFERROR(__xludf.DUMMYFUNCTION("""COMPUTED_VALUE"""),71)</f>
        <v>71</v>
      </c>
      <c r="I414">
        <f ca="1">IFERROR(__xludf.DUMMYFUNCTION("""COMPUTED_VALUE"""),4261)</f>
        <v>4261</v>
      </c>
      <c r="J414" t="str">
        <f ca="1">IFERROR(__xludf.DUMMYFUNCTION("""COMPUTED_VALUE"""),"3505 (35580-026-35550) ТОМАШГОРОД - САРНЫ")</f>
        <v>3505 (35580-026-35550) ТОМАШГОРОД - САРНЫ</v>
      </c>
      <c r="K414">
        <f ca="1">IFERROR(__xludf.DUMMYFUNCTION("""COMPUTED_VALUE"""),35580)</f>
        <v>35580</v>
      </c>
      <c r="L414" t="str">
        <f ca="1">IFERROR(__xludf.DUMMYFUNCTION("""COMPUTED_VALUE"""),"ТОМАШГОРОД")</f>
        <v>ТОМАШГОРОД</v>
      </c>
      <c r="M414" t="str">
        <f ca="1">IFERROR(__xludf.DUMMYFUNCTION("""COMPUTED_VALUE"""),"10.08.21 18-50")</f>
        <v>10.08.21 18-50</v>
      </c>
      <c r="N414" t="str">
        <f ca="1">IFERROR(__xludf.DUMMYFUNCTION("""COMPUTED_VALUE"""),"91 ПРДР")</f>
        <v>91 ПРДР</v>
      </c>
      <c r="O414">
        <f ca="1">IFERROR(__xludf.DUMMYFUNCTION("""COMPUTED_VALUE"""),35260)</f>
        <v>35260</v>
      </c>
      <c r="P414" t="str">
        <f ca="1">IFERROR(__xludf.DUMMYFUNCTION("""COMPUTED_VALUE"""),"ИЗОВ-Э-ПКП")</f>
        <v>ИЗОВ-Э-ПКП</v>
      </c>
      <c r="Q414">
        <f ca="1">IFERROR(__xludf.DUMMYFUNCTION("""COMPUTED_VALUE"""),35580)</f>
        <v>35580</v>
      </c>
      <c r="R414" t="str">
        <f ca="1">IFERROR(__xludf.DUMMYFUNCTION("""COMPUTED_VALUE"""),"ТОМАШГОРОД")</f>
        <v>ТОМАШГОРОД</v>
      </c>
      <c r="S414" t="str">
        <f ca="1">IFERROR(__xludf.DUMMYFUNCTION("""COMPUTED_VALUE"""),"10.08.21 18-50")</f>
        <v>10.08.21 18-50</v>
      </c>
      <c r="T414">
        <f ca="1">IFERROR(__xludf.DUMMYFUNCTION("""COMPUTED_VALUE"""),1406)</f>
        <v>1406</v>
      </c>
      <c r="U414" t="str">
        <f ca="1">IFERROR(__xludf.DUMMYFUNCTION("""COMPUTED_VALUE"""),"07.11.2022 ДР")</f>
        <v>07.11.2022 ДР</v>
      </c>
      <c r="Z414" t="str">
        <f ca="1">IFERROR(__xludf.DUMMYFUNCTION("""COMPUTED_VALUE"""),"ООО «ТЕГРА ЛОДЖИСТИКС»")</f>
        <v>ООО «ТЕГРА ЛОДЖИСТИКС»</v>
      </c>
      <c r="AA414" t="str">
        <f ca="1">IFERROR(__xludf.DUMMYFUNCTION("""COMPUTED_VALUE"""),"12-1592")</f>
        <v>12-1592</v>
      </c>
      <c r="AB414" t="str">
        <f ca="1">IFERROR(__xludf.DUMMYFUNCTION("""COMPUTED_VALUE"""),"45 ПРИДН")</f>
        <v>45 ПРИДН</v>
      </c>
      <c r="AC414" t="str">
        <f ca="1">IFERROR(__xludf.DUMMYFUNCTION("""COMPUTED_VALUE"""),"45730 ТЕРНЫ")</f>
        <v>45730 ТЕРНЫ</v>
      </c>
      <c r="AD414" t="str">
        <f ca="1">IFERROR(__xludf.DUMMYFUNCTION("""COMPUTED_VALUE"""),"22.09.20 08-10")</f>
        <v>22.09.20 08-10</v>
      </c>
      <c r="AE414" t="str">
        <f ca="1">IFERROR(__xludf.DUMMYFUNCTION("""COMPUTED_VALUE"""),"503 OБPЫВ CВAPНOГO ШВA CТOЙКИ")</f>
        <v>503 OБPЫВ CВAPНOГO ШВA CТOЙКИ</v>
      </c>
      <c r="AF414" t="str">
        <f ca="1">IFERROR(__xludf.DUMMYFUNCTION("""COMPUTED_VALUE"""),"45 ПРИДН")</f>
        <v>45 ПРИДН</v>
      </c>
      <c r="AG414" t="str">
        <f ca="1">IFERROR(__xludf.DUMMYFUNCTION("""COMPUTED_VALUE"""),"45730 ТЕРНЫ")</f>
        <v>45730 ТЕРНЫ</v>
      </c>
      <c r="AH414" t="str">
        <f ca="1">IFERROR(__xludf.DUMMYFUNCTION("""COMPUTED_VALUE"""),"23.09.20 05-00")</f>
        <v>23.09.20 05-00</v>
      </c>
      <c r="AI414" s="21">
        <f ca="1">IFERROR(__xludf.DUMMYFUNCTION("""COMPUTED_VALUE"""),44420.3576851851)</f>
        <v>44420.357685185103</v>
      </c>
    </row>
    <row r="415" spans="1:35" ht="13" x14ac:dyDescent="0.15">
      <c r="A415">
        <f ca="1">IFERROR(__xludf.DUMMYFUNCTION("""COMPUTED_VALUE"""),1364)</f>
        <v>1364</v>
      </c>
      <c r="B415" t="str">
        <f ca="1">IFERROR(__xludf.DUMMYFUNCTION("""COMPUTED_VALUE"""),"Техрейс")</f>
        <v>Техрейс</v>
      </c>
      <c r="C415" t="str">
        <f ca="1">IFERROR(__xludf.DUMMYFUNCTION("""COMPUTED_VALUE"""),"ЕУ-Транс")</f>
        <v>ЕУ-Транс</v>
      </c>
      <c r="D415">
        <f ca="1">IFERROR(__xludf.DUMMYFUNCTION("""COMPUTED_VALUE"""),56695034)</f>
        <v>56695034</v>
      </c>
      <c r="E415" t="str">
        <f ca="1">IFERROR(__xludf.DUMMYFUNCTION("""COMPUTED_VALUE"""),"60 ПОЛУВАГОНЫ")</f>
        <v>60 ПОЛУВАГОНЫ</v>
      </c>
      <c r="F415">
        <f ca="1">IFERROR(__xludf.DUMMYFUNCTION("""COMPUTED_VALUE"""),42119)</f>
        <v>42119</v>
      </c>
      <c r="G415" t="str">
        <f ca="1">IFERROR(__xludf.DUMMYFUNCTION("""COMPUTED_VALUE"""),"ВАГОНЫ ЖД РЕМОН")</f>
        <v>ВАГОНЫ ЖД РЕМОН</v>
      </c>
      <c r="H415">
        <f ca="1">IFERROR(__xludf.DUMMYFUNCTION("""COMPUTED_VALUE"""),0)</f>
        <v>0</v>
      </c>
      <c r="I415">
        <f ca="1">IFERROR(__xludf.DUMMYFUNCTION("""COMPUTED_VALUE"""),9749)</f>
        <v>9749</v>
      </c>
      <c r="J415" t="str">
        <f ca="1">IFERROR(__xludf.DUMMYFUNCTION("""COMPUTED_VALUE"""),"3556 (46710-086-46690) КРИВ.РОГ-СОР - БАТУРИНСКАЯ")</f>
        <v>3556 (46710-086-46690) КРИВ.РОГ-СОР - БАТУРИНСКАЯ</v>
      </c>
      <c r="K415">
        <f ca="1">IFERROR(__xludf.DUMMYFUNCTION("""COMPUTED_VALUE"""),46690)</f>
        <v>46690</v>
      </c>
      <c r="L415" t="str">
        <f ca="1">IFERROR(__xludf.DUMMYFUNCTION("""COMPUTED_VALUE"""),"БАТУРИНСКАЯ")</f>
        <v>БАТУРИНСКАЯ</v>
      </c>
      <c r="M415" t="str">
        <f ca="1">IFERROR(__xludf.DUMMYFUNCTION("""COMPUTED_VALUE"""),"02.08.21 16-15")</f>
        <v>02.08.21 16-15</v>
      </c>
      <c r="N415" t="str">
        <f ca="1">IFERROR(__xludf.DUMMYFUNCTION("""COMPUTED_VALUE"""),"53 ВУ23")</f>
        <v>53 ВУ23</v>
      </c>
      <c r="O415">
        <f ca="1">IFERROR(__xludf.DUMMYFUNCTION("""COMPUTED_VALUE"""),46690)</f>
        <v>46690</v>
      </c>
      <c r="P415" t="str">
        <f ca="1">IFERROR(__xludf.DUMMYFUNCTION("""COMPUTED_VALUE"""),"БАТУРИНСКАЯ")</f>
        <v>БАТУРИНСКАЯ</v>
      </c>
      <c r="Q415">
        <f ca="1">IFERROR(__xludf.DUMMYFUNCTION("""COMPUTED_VALUE"""),46720)</f>
        <v>46720</v>
      </c>
      <c r="R415" t="str">
        <f ca="1">IFERROR(__xludf.DUMMYFUNCTION("""COMPUTED_VALUE"""),"КРИВОЙ РОГ")</f>
        <v>КРИВОЙ РОГ</v>
      </c>
      <c r="S415" t="str">
        <f ca="1">IFERROR(__xludf.DUMMYFUNCTION("""COMPUTED_VALUE"""),"20.07.21 17-45")</f>
        <v>20.07.21 17-45</v>
      </c>
      <c r="T415">
        <f ca="1">IFERROR(__xludf.DUMMYFUNCTION("""COMPUTED_VALUE"""),9814)</f>
        <v>9814</v>
      </c>
      <c r="U415" t="str">
        <f ca="1">IFERROR(__xludf.DUMMYFUNCTION("""COMPUTED_VALUE"""),"22.01.2023 ДР")</f>
        <v>22.01.2023 ДР</v>
      </c>
      <c r="Z415" t="str">
        <f ca="1">IFERROR(__xludf.DUMMYFUNCTION("""COMPUTED_VALUE"""),"ООО ""ЕУ-ТРАНС""")</f>
        <v>ООО "ЕУ-ТРАНС"</v>
      </c>
      <c r="AA415" t="str">
        <f ca="1">IFERROR(__xludf.DUMMYFUNCTION("""COMPUTED_VALUE"""),"12-753")</f>
        <v>12-753</v>
      </c>
      <c r="AB415" t="str">
        <f ca="1">IFERROR(__xludf.DUMMYFUNCTION("""COMPUTED_VALUE"""),"45 ПРИДН")</f>
        <v>45 ПРИДН</v>
      </c>
      <c r="AC415" t="str">
        <f ca="1">IFERROR(__xludf.DUMMYFUNCTION("""COMPUTED_VALUE"""),"46690 БАТУРИНСКАЯ")</f>
        <v>46690 БАТУРИНСКАЯ</v>
      </c>
      <c r="AD415" t="str">
        <f ca="1">IFERROR(__xludf.DUMMYFUNCTION("""COMPUTED_VALUE"""),"02.08.21 16-15")</f>
        <v>02.08.21 16-15</v>
      </c>
      <c r="AE415" t="str">
        <f ca="1">IFERROR(__xludf.DUMMYFUNCTION("""COMPUTED_VALUE"""),"153 ИЗЛOМ/ИЗГИБ КPЫШКИ БУКCЫ")</f>
        <v>153 ИЗЛOМ/ИЗГИБ КPЫШКИ БУКCЫ</v>
      </c>
      <c r="AF415" t="str">
        <f ca="1">IFERROR(__xludf.DUMMYFUNCTION("""COMPUTED_VALUE"""),"48 ДОН")</f>
        <v>48 ДОН</v>
      </c>
      <c r="AG415" t="str">
        <f ca="1">IFERROR(__xludf.DUMMYFUNCTION("""COMPUTED_VALUE"""),"49480 СОЛЬ")</f>
        <v>49480 СОЛЬ</v>
      </c>
      <c r="AH415" t="str">
        <f ca="1">IFERROR(__xludf.DUMMYFUNCTION("""COMPUTED_VALUE"""),"03.04.21 16-00")</f>
        <v>03.04.21 16-00</v>
      </c>
      <c r="AI415" s="21">
        <f ca="1">IFERROR(__xludf.DUMMYFUNCTION("""COMPUTED_VALUE"""),44420.3576851851)</f>
        <v>44420.357685185103</v>
      </c>
    </row>
    <row r="416" spans="1:35" ht="13" x14ac:dyDescent="0.15">
      <c r="A416">
        <f ca="1">IFERROR(__xludf.DUMMYFUNCTION("""COMPUTED_VALUE"""),1376)</f>
        <v>1376</v>
      </c>
      <c r="B416" t="str">
        <f ca="1">IFERROR(__xludf.DUMMYFUNCTION("""COMPUTED_VALUE"""),"Техрейс")</f>
        <v>Техрейс</v>
      </c>
      <c r="C416" t="str">
        <f ca="1">IFERROR(__xludf.DUMMYFUNCTION("""COMPUTED_VALUE"""),"УТС")</f>
        <v>УТС</v>
      </c>
      <c r="D416">
        <f ca="1">IFERROR(__xludf.DUMMYFUNCTION("""COMPUTED_VALUE"""),60419074)</f>
        <v>60419074</v>
      </c>
      <c r="E416" t="str">
        <f ca="1">IFERROR(__xludf.DUMMYFUNCTION("""COMPUTED_VALUE"""),"60 ПОЛУВАГОНЫ")</f>
        <v>60 ПОЛУВАГОНЫ</v>
      </c>
      <c r="F416">
        <f ca="1">IFERROR(__xludf.DUMMYFUNCTION("""COMPUTED_VALUE"""),43604)</f>
        <v>43604</v>
      </c>
      <c r="G416" t="str">
        <f ca="1">IFERROR(__xludf.DUMMYFUNCTION("""COMPUTED_VALUE"""),"ДИАММОФОС")</f>
        <v>ДИАММОФОС</v>
      </c>
      <c r="H416">
        <f ca="1">IFERROR(__xludf.DUMMYFUNCTION("""COMPUTED_VALUE"""),68)</f>
        <v>68</v>
      </c>
      <c r="I416">
        <f ca="1">IFERROR(__xludf.DUMMYFUNCTION("""COMPUTED_VALUE"""),2154)</f>
        <v>2154</v>
      </c>
      <c r="J416" t="str">
        <f ca="1">IFERROR(__xludf.DUMMYFUNCTION("""COMPUTED_VALUE"""),"2844 (35000-040-34270) ЗДОЛБУНОВ - КАЗАТИН I")</f>
        <v>2844 (35000-040-34270) ЗДОЛБУНОВ - КАЗАТИН I</v>
      </c>
      <c r="K416">
        <f ca="1">IFERROR(__xludf.DUMMYFUNCTION("""COMPUTED_VALUE"""),34000)</f>
        <v>34000</v>
      </c>
      <c r="L416" t="str">
        <f ca="1">IFERROR(__xludf.DUMMYFUNCTION("""COMPUTED_VALUE"""),"ШЕПЕТОВКА")</f>
        <v>ШЕПЕТОВКА</v>
      </c>
      <c r="M416" t="str">
        <f ca="1">IFERROR(__xludf.DUMMYFUNCTION("""COMPUTED_VALUE"""),"11.08.21 12-00")</f>
        <v>11.08.21 12-00</v>
      </c>
      <c r="N416" t="str">
        <f ca="1">IFERROR(__xludf.DUMMYFUNCTION("""COMPUTED_VALUE"""),"51 ПРИБ")</f>
        <v>51 ПРИБ</v>
      </c>
      <c r="O416">
        <f ca="1">IFERROR(__xludf.DUMMYFUNCTION("""COMPUTED_VALUE"""),44280)</f>
        <v>44280</v>
      </c>
      <c r="P416" t="str">
        <f ca="1">IFERROR(__xludf.DUMMYFUNCTION("""COMPUTED_VALUE"""),"ЛОЗОВАЯ")</f>
        <v>ЛОЗОВАЯ</v>
      </c>
      <c r="Q416">
        <f ca="1">IFERROR(__xludf.DUMMYFUNCTION("""COMPUTED_VALUE"""),35050)</f>
        <v>35050</v>
      </c>
      <c r="R416" t="str">
        <f ca="1">IFERROR(__xludf.DUMMYFUNCTION("""COMPUTED_VALUE"""),"КРЕМЕНЕЦ")</f>
        <v>КРЕМЕНЕЦ</v>
      </c>
      <c r="S416" t="str">
        <f ca="1">IFERROR(__xludf.DUMMYFUNCTION("""COMPUTED_VALUE"""),"06.08.21 17-25")</f>
        <v>06.08.21 17-25</v>
      </c>
      <c r="T416">
        <f ca="1">IFERROR(__xludf.DUMMYFUNCTION("""COMPUTED_VALUE"""),1727)</f>
        <v>1727</v>
      </c>
      <c r="U416" t="str">
        <f ca="1">IFERROR(__xludf.DUMMYFUNCTION("""COMPUTED_VALUE"""),"20.04.2024 КР")</f>
        <v>20.04.2024 КР</v>
      </c>
      <c r="Z416" t="str">
        <f ca="1">IFERROR(__xludf.DUMMYFUNCTION("""COMPUTED_VALUE"""),"ООО «УТС»")</f>
        <v>ООО «УТС»</v>
      </c>
      <c r="AA416" t="str">
        <f ca="1">IFERROR(__xludf.DUMMYFUNCTION("""COMPUTED_VALUE"""),"12-9745")</f>
        <v>12-9745</v>
      </c>
      <c r="AB416" t="str">
        <f ca="1">IFERROR(__xludf.DUMMYFUNCTION("""COMPUTED_VALUE"""),"58 Ю-ВОСТ")</f>
        <v>58 Ю-ВОСТ</v>
      </c>
      <c r="AC416" t="str">
        <f ca="1">IFERROR(__xludf.DUMMYFUNCTION("""COMPUTED_VALUE"""),"43830 ВАЛУЙКИ")</f>
        <v>43830 ВАЛУЙКИ</v>
      </c>
      <c r="AD416" t="str">
        <f ca="1">IFERROR(__xludf.DUMMYFUNCTION("""COMPUTED_VALUE"""),"18.04.21 10-38")</f>
        <v>18.04.21 10-38</v>
      </c>
      <c r="AE416" t="str">
        <f ca="1">IFERROR(__xludf.DUMMYFUNCTION("""COMPUTED_VALUE"""),"570 ИCТEК КAЛЕНДАРНЫЙ CPOК ДEПOВCКОГО PEМOНТA")</f>
        <v>570 ИCТEК КAЛЕНДАРНЫЙ CPOК ДEПOВCКОГО PEМOНТA</v>
      </c>
      <c r="AF416" t="str">
        <f ca="1">IFERROR(__xludf.DUMMYFUNCTION("""COMPUTED_VALUE"""),"58 Ю-ВОСТ")</f>
        <v>58 Ю-ВОСТ</v>
      </c>
      <c r="AG416" t="str">
        <f ca="1">IFERROR(__xludf.DUMMYFUNCTION("""COMPUTED_VALUE"""),"43830 ВАЛУЙКИ")</f>
        <v>43830 ВАЛУЙКИ</v>
      </c>
      <c r="AH416" t="str">
        <f ca="1">IFERROR(__xludf.DUMMYFUNCTION("""COMPUTED_VALUE"""),"20.04.21 08-30")</f>
        <v>20.04.21 08-30</v>
      </c>
      <c r="AI416" s="21">
        <f ca="1">IFERROR(__xludf.DUMMYFUNCTION("""COMPUTED_VALUE"""),44420.3576851851)</f>
        <v>44420.357685185103</v>
      </c>
    </row>
    <row r="417" spans="1:35" ht="13" x14ac:dyDescent="0.15">
      <c r="A417">
        <f ca="1">IFERROR(__xludf.DUMMYFUNCTION("""COMPUTED_VALUE"""),1377)</f>
        <v>1377</v>
      </c>
      <c r="B417" t="str">
        <f ca="1">IFERROR(__xludf.DUMMYFUNCTION("""COMPUTED_VALUE"""),"Техрейс")</f>
        <v>Техрейс</v>
      </c>
      <c r="C417" t="str">
        <f ca="1">IFERROR(__xludf.DUMMYFUNCTION("""COMPUTED_VALUE"""),"УТС")</f>
        <v>УТС</v>
      </c>
      <c r="D417">
        <f ca="1">IFERROR(__xludf.DUMMYFUNCTION("""COMPUTED_VALUE"""),60418100)</f>
        <v>60418100</v>
      </c>
      <c r="E417" t="str">
        <f ca="1">IFERROR(__xludf.DUMMYFUNCTION("""COMPUTED_VALUE"""),"60 ПОЛУВАГОНЫ")</f>
        <v>60 ПОЛУВАГОНЫ</v>
      </c>
      <c r="F417">
        <f ca="1">IFERROR(__xludf.DUMMYFUNCTION("""COMPUTED_VALUE"""),42103)</f>
        <v>42103</v>
      </c>
      <c r="G417" t="str">
        <f ca="1">IFERROR(__xludf.DUMMYFUNCTION("""COMPUTED_VALUE"""),"ВАГОНЫ ЖД СВ")</f>
        <v>ВАГОНЫ ЖД СВ</v>
      </c>
      <c r="H417">
        <f ca="1">IFERROR(__xludf.DUMMYFUNCTION("""COMPUTED_VALUE"""),0)</f>
        <v>0</v>
      </c>
      <c r="I417">
        <f ca="1">IFERROR(__xludf.DUMMYFUNCTION("""COMPUTED_VALUE"""),4305)</f>
        <v>4305</v>
      </c>
      <c r="J417" t="str">
        <f ca="1">IFERROR(__xludf.DUMMYFUNCTION("""COMPUTED_VALUE"""),"2630 (41000-533-42500) ЗНАМЕНКА - КРЕМЕНЧУГ")</f>
        <v>2630 (41000-533-42500) ЗНАМЕНКА - КРЕМЕНЧУГ</v>
      </c>
      <c r="K417">
        <f ca="1">IFERROR(__xludf.DUMMYFUNCTION("""COMPUTED_VALUE"""),42500)</f>
        <v>42500</v>
      </c>
      <c r="L417" t="str">
        <f ca="1">IFERROR(__xludf.DUMMYFUNCTION("""COMPUTED_VALUE"""),"КРЕМЕНЧУГ")</f>
        <v>КРЕМЕНЧУГ</v>
      </c>
      <c r="M417" t="str">
        <f ca="1">IFERROR(__xludf.DUMMYFUNCTION("""COMPUTED_VALUE"""),"12.08.21 02-35")</f>
        <v>12.08.21 02-35</v>
      </c>
      <c r="N417" t="str">
        <f ca="1">IFERROR(__xludf.DUMMYFUNCTION("""COMPUTED_VALUE"""),"01 ПРИБ")</f>
        <v>01 ПРИБ</v>
      </c>
      <c r="O417">
        <f ca="1">IFERROR(__xludf.DUMMYFUNCTION("""COMPUTED_VALUE"""),42500)</f>
        <v>42500</v>
      </c>
      <c r="P417" t="str">
        <f ca="1">IFERROR(__xludf.DUMMYFUNCTION("""COMPUTED_VALUE"""),"КРЕМЕНЧУГ")</f>
        <v>КРЕМЕНЧУГ</v>
      </c>
      <c r="Q417">
        <f ca="1">IFERROR(__xludf.DUMMYFUNCTION("""COMPUTED_VALUE"""),42420)</f>
        <v>42420</v>
      </c>
      <c r="R417" t="str">
        <f ca="1">IFERROR(__xludf.DUMMYFUNCTION("""COMPUTED_VALUE"""),"ЧЕРКАССЫ")</f>
        <v>ЧЕРКАССЫ</v>
      </c>
      <c r="S417" t="str">
        <f ca="1">IFERROR(__xludf.DUMMYFUNCTION("""COMPUTED_VALUE"""),"09.08.21 07-30")</f>
        <v>09.08.21 07-30</v>
      </c>
      <c r="T417">
        <f ca="1">IFERROR(__xludf.DUMMYFUNCTION("""COMPUTED_VALUE"""),8200)</f>
        <v>8200</v>
      </c>
      <c r="U417" t="str">
        <f ca="1">IFERROR(__xludf.DUMMYFUNCTION("""COMPUTED_VALUE"""),"20.04.2023 ДР")</f>
        <v>20.04.2023 ДР</v>
      </c>
      <c r="Z417" t="str">
        <f ca="1">IFERROR(__xludf.DUMMYFUNCTION("""COMPUTED_VALUE"""),"ООО «УТС»")</f>
        <v>ООО «УТС»</v>
      </c>
      <c r="AA417" t="str">
        <f ca="1">IFERROR(__xludf.DUMMYFUNCTION("""COMPUTED_VALUE"""),"12-9745")</f>
        <v>12-9745</v>
      </c>
      <c r="AB417" t="str">
        <f ca="1">IFERROR(__xludf.DUMMYFUNCTION("""COMPUTED_VALUE"""),"58 Ю-ВОСТ")</f>
        <v>58 Ю-ВОСТ</v>
      </c>
      <c r="AC417" t="str">
        <f ca="1">IFERROR(__xludf.DUMMYFUNCTION("""COMPUTED_VALUE"""),"43830 ВАЛУЙКИ")</f>
        <v>43830 ВАЛУЙКИ</v>
      </c>
      <c r="AD417" t="str">
        <f ca="1">IFERROR(__xludf.DUMMYFUNCTION("""COMPUTED_VALUE"""),"18.04.21 10-39")</f>
        <v>18.04.21 10-39</v>
      </c>
      <c r="AE417" t="str">
        <f ca="1">IFERROR(__xludf.DUMMYFUNCTION("""COMPUTED_VALUE"""),"570 ИCТEК КAЛЕНДАРНЫЙ CPOК ДEПOВCКОГО PEМOНТA")</f>
        <v>570 ИCТEК КAЛЕНДАРНЫЙ CPOК ДEПOВCКОГО PEМOНТA</v>
      </c>
      <c r="AF417" t="str">
        <f ca="1">IFERROR(__xludf.DUMMYFUNCTION("""COMPUTED_VALUE"""),"58 Ю-ВОСТ")</f>
        <v>58 Ю-ВОСТ</v>
      </c>
      <c r="AG417" t="str">
        <f ca="1">IFERROR(__xludf.DUMMYFUNCTION("""COMPUTED_VALUE"""),"43830 ВАЛУЙКИ")</f>
        <v>43830 ВАЛУЙКИ</v>
      </c>
      <c r="AH417" t="str">
        <f ca="1">IFERROR(__xludf.DUMMYFUNCTION("""COMPUTED_VALUE"""),"20.04.21 08-30")</f>
        <v>20.04.21 08-30</v>
      </c>
      <c r="AI417" s="21">
        <f ca="1">IFERROR(__xludf.DUMMYFUNCTION("""COMPUTED_VALUE"""),44420.3576851851)</f>
        <v>44420.357685185103</v>
      </c>
    </row>
    <row r="418" spans="1:35" ht="13" x14ac:dyDescent="0.15">
      <c r="A418">
        <f ca="1">IFERROR(__xludf.DUMMYFUNCTION("""COMPUTED_VALUE"""),1381)</f>
        <v>1381</v>
      </c>
      <c r="B418" t="str">
        <f ca="1">IFERROR(__xludf.DUMMYFUNCTION("""COMPUTED_VALUE"""),"Техрейс")</f>
        <v>Техрейс</v>
      </c>
      <c r="C418" t="str">
        <f ca="1">IFERROR(__xludf.DUMMYFUNCTION("""COMPUTED_VALUE"""),"ЕУ-Транс")</f>
        <v>ЕУ-Транс</v>
      </c>
      <c r="D418">
        <f ca="1">IFERROR(__xludf.DUMMYFUNCTION("""COMPUTED_VALUE"""),56634660)</f>
        <v>56634660</v>
      </c>
      <c r="E418" t="str">
        <f ca="1">IFERROR(__xludf.DUMMYFUNCTION("""COMPUTED_VALUE"""),"60 ПОЛУВАГОНЫ")</f>
        <v>60 ПОЛУВАГОНЫ</v>
      </c>
      <c r="F418">
        <f ca="1">IFERROR(__xludf.DUMMYFUNCTION("""COMPUTED_VALUE"""),16120)</f>
        <v>16120</v>
      </c>
      <c r="G418" t="str">
        <f ca="1">IFERROR(__xludf.DUMMYFUNCTION("""COMPUTED_VALUE"""),"УГОЛЬ КАМЕН ПР")</f>
        <v>УГОЛЬ КАМЕН ПР</v>
      </c>
      <c r="H418">
        <f ca="1">IFERROR(__xludf.DUMMYFUNCTION("""COMPUTED_VALUE"""),69)</f>
        <v>69</v>
      </c>
      <c r="I418">
        <f ca="1">IFERROR(__xludf.DUMMYFUNCTION("""COMPUTED_VALUE"""),7253)</f>
        <v>7253</v>
      </c>
      <c r="J418" t="str">
        <f ca="1">IFERROR(__xludf.DUMMYFUNCTION("""COMPUTED_VALUE"""),"2818 (40110-068-45000) ЧЕРНОМОРСКАЯ - НИЖНЕДН-УЗЕЛ")</f>
        <v>2818 (40110-068-45000) ЧЕРНОМОРСКАЯ - НИЖНЕДН-УЗЕЛ</v>
      </c>
      <c r="K418">
        <f ca="1">IFERROR(__xludf.DUMMYFUNCTION("""COMPUTED_VALUE"""),45000)</f>
        <v>45000</v>
      </c>
      <c r="L418" t="str">
        <f ca="1">IFERROR(__xludf.DUMMYFUNCTION("""COMPUTED_VALUE"""),"НИЖНЕДН-УЗЕЛ")</f>
        <v>НИЖНЕДН-УЗЕЛ</v>
      </c>
      <c r="M418" t="str">
        <f ca="1">IFERROR(__xludf.DUMMYFUNCTION("""COMPUTED_VALUE"""),"12.08.21 03-25")</f>
        <v>12.08.21 03-25</v>
      </c>
      <c r="N418" t="str">
        <f ca="1">IFERROR(__xludf.DUMMYFUNCTION("""COMPUTED_VALUE"""),"04 РАСФ")</f>
        <v>04 РАСФ</v>
      </c>
      <c r="O418">
        <f ca="1">IFERROR(__xludf.DUMMYFUNCTION("""COMPUTED_VALUE"""),48280)</f>
        <v>48280</v>
      </c>
      <c r="P418" t="str">
        <f ca="1">IFERROR(__xludf.DUMMYFUNCTION("""COMPUTED_VALUE"""),"АВДЕЕВКА")</f>
        <v>АВДЕЕВКА</v>
      </c>
      <c r="Q418">
        <f ca="1">IFERROR(__xludf.DUMMYFUNCTION("""COMPUTED_VALUE"""),40060)</f>
        <v>40060</v>
      </c>
      <c r="R418" t="str">
        <f ca="1">IFERROR(__xludf.DUMMYFUNCTION("""COMPUTED_VALUE"""),"БЕРЕГОВАЯ-Э")</f>
        <v>БЕРЕГОВАЯ-Э</v>
      </c>
      <c r="S418" t="str">
        <f ca="1">IFERROR(__xludf.DUMMYFUNCTION("""COMPUTED_VALUE"""),"10.08.21 03-32")</f>
        <v>10.08.21 03-32</v>
      </c>
      <c r="T418">
        <f ca="1">IFERROR(__xludf.DUMMYFUNCTION("""COMPUTED_VALUE"""),1100)</f>
        <v>1100</v>
      </c>
      <c r="U418" t="str">
        <f ca="1">IFERROR(__xludf.DUMMYFUNCTION("""COMPUTED_VALUE"""),"20.05.2024 ДР")</f>
        <v>20.05.2024 ДР</v>
      </c>
      <c r="Z418" t="str">
        <f ca="1">IFERROR(__xludf.DUMMYFUNCTION("""COMPUTED_VALUE"""),"ООО ""ЕУ-ТРАНС""")</f>
        <v>ООО "ЕУ-ТРАНС"</v>
      </c>
      <c r="AA418" t="str">
        <f ca="1">IFERROR(__xludf.DUMMYFUNCTION("""COMPUTED_VALUE"""),"12-753")</f>
        <v>12-753</v>
      </c>
      <c r="AB418" t="str">
        <f ca="1">IFERROR(__xludf.DUMMYFUNCTION("""COMPUTED_VALUE"""),"40 ОД")</f>
        <v>40 ОД</v>
      </c>
      <c r="AC418" t="str">
        <f ca="1">IFERROR(__xludf.DUMMYFUNCTION("""COMPUTED_VALUE"""),"41000 ЗНАМЕНКА")</f>
        <v>41000 ЗНАМЕНКА</v>
      </c>
      <c r="AD418" t="str">
        <f ca="1">IFERROR(__xludf.DUMMYFUNCTION("""COMPUTED_VALUE"""),"10.04.21 05-10")</f>
        <v>10.04.21 05-10</v>
      </c>
      <c r="AE418" t="str">
        <f ca="1">IFERROR(__xludf.DUMMYFUNCTION("""COMPUTED_VALUE"""),"571 ИCТEК КAЛЕНДАРНЫЙ CPOК КAПИТAЛЬНОГО PEМOНТA")</f>
        <v>571 ИCТEК КAЛЕНДАРНЫЙ CPOК КAПИТAЛЬНОГО PEМOНТA</v>
      </c>
      <c r="AF418" t="str">
        <f ca="1">IFERROR(__xludf.DUMMYFUNCTION("""COMPUTED_VALUE"""),"40 ОД")</f>
        <v>40 ОД</v>
      </c>
      <c r="AG418" t="str">
        <f ca="1">IFERROR(__xludf.DUMMYFUNCTION("""COMPUTED_VALUE"""),"41000 ЗНАМЕНКА")</f>
        <v>41000 ЗНАМЕНКА</v>
      </c>
      <c r="AH418" t="str">
        <f ca="1">IFERROR(__xludf.DUMMYFUNCTION("""COMPUTED_VALUE"""),"20.05.21 17-30")</f>
        <v>20.05.21 17-30</v>
      </c>
      <c r="AI418" s="21">
        <f ca="1">IFERROR(__xludf.DUMMYFUNCTION("""COMPUTED_VALUE"""),44420.3576851851)</f>
        <v>44420.357685185103</v>
      </c>
    </row>
    <row r="419" spans="1:35" ht="13" x14ac:dyDescent="0.15">
      <c r="A419">
        <f ca="1">IFERROR(__xludf.DUMMYFUNCTION("""COMPUTED_VALUE"""),1382)</f>
        <v>1382</v>
      </c>
      <c r="B419" t="str">
        <f ca="1">IFERROR(__xludf.DUMMYFUNCTION("""COMPUTED_VALUE"""),"Агрохимресурс")</f>
        <v>Агрохимресурс</v>
      </c>
      <c r="C419" t="str">
        <f ca="1">IFERROR(__xludf.DUMMYFUNCTION("""COMPUTED_VALUE"""),"СВ Транс")</f>
        <v>СВ Транс</v>
      </c>
      <c r="D419">
        <f ca="1">IFERROR(__xludf.DUMMYFUNCTION("""COMPUTED_VALUE"""),56356074)</f>
        <v>56356074</v>
      </c>
      <c r="E419" t="str">
        <f ca="1">IFERROR(__xludf.DUMMYFUNCTION("""COMPUTED_VALUE"""),"60 ПОЛУВАГОНЫ")</f>
        <v>60 ПОЛУВАГОНЫ</v>
      </c>
      <c r="F419">
        <f ca="1">IFERROR(__xludf.DUMMYFUNCTION("""COMPUTED_VALUE"""),43304)</f>
        <v>43304</v>
      </c>
      <c r="G419" t="str">
        <f ca="1">IFERROR(__xludf.DUMMYFUNCTION("""COMPUTED_VALUE"""),"КАРБАМИД")</f>
        <v>КАРБАМИД</v>
      </c>
      <c r="H419">
        <f ca="1">IFERROR(__xludf.DUMMYFUNCTION("""COMPUTED_VALUE"""),62)</f>
        <v>62</v>
      </c>
      <c r="I419">
        <f ca="1">IFERROR(__xludf.DUMMYFUNCTION("""COMPUTED_VALUE"""),2920)</f>
        <v>2920</v>
      </c>
      <c r="J419" t="str">
        <f ca="1">IFERROR(__xludf.DUMMYFUNCTION("""COMPUTED_VALUE"""),"2203 (32000-289-33000) ДАРНИЦА - ЖМЕРИНКА")</f>
        <v>2203 (32000-289-33000) ДАРНИЦА - ЖМЕРИНКА</v>
      </c>
      <c r="K419">
        <f ca="1">IFERROR(__xludf.DUMMYFUNCTION("""COMPUTED_VALUE"""),33580)</f>
        <v>33580</v>
      </c>
      <c r="L419" t="str">
        <f ca="1">IFERROR(__xludf.DUMMYFUNCTION("""COMPUTED_VALUE"""),"ВИННИЦА")</f>
        <v>ВИННИЦА</v>
      </c>
      <c r="M419" t="str">
        <f ca="1">IFERROR(__xludf.DUMMYFUNCTION("""COMPUTED_VALUE"""),"11.08.21 14-38")</f>
        <v>11.08.21 14-38</v>
      </c>
      <c r="N419" t="str">
        <f ca="1">IFERROR(__xludf.DUMMYFUNCTION("""COMPUTED_VALUE"""),"01 ПРИБ")</f>
        <v>01 ПРИБ</v>
      </c>
      <c r="O419">
        <f ca="1">IFERROR(__xludf.DUMMYFUNCTION("""COMPUTED_VALUE"""),40770)</f>
        <v>40770</v>
      </c>
      <c r="P419" t="str">
        <f ca="1">IFERROR(__xludf.DUMMYFUNCTION("""COMPUTED_VALUE"""),"КНЯЖЕВО")</f>
        <v>КНЯЖЕВО</v>
      </c>
      <c r="Q419">
        <f ca="1">IFERROR(__xludf.DUMMYFUNCTION("""COMPUTED_VALUE"""),32430)</f>
        <v>32430</v>
      </c>
      <c r="R419" t="str">
        <f ca="1">IFERROR(__xludf.DUMMYFUNCTION("""COMPUTED_VALUE"""),"ГОЛУБИЧИ")</f>
        <v>ГОЛУБИЧИ</v>
      </c>
      <c r="S419" t="str">
        <f ca="1">IFERROR(__xludf.DUMMYFUNCTION("""COMPUTED_VALUE"""),"02.08.21 10-50")</f>
        <v>02.08.21 10-50</v>
      </c>
      <c r="T419">
        <f ca="1">IFERROR(__xludf.DUMMYFUNCTION("""COMPUTED_VALUE"""),4165)</f>
        <v>4165</v>
      </c>
      <c r="U419" t="str">
        <f ca="1">IFERROR(__xludf.DUMMYFUNCTION("""COMPUTED_VALUE"""),"23.05.2024 ДР")</f>
        <v>23.05.2024 ДР</v>
      </c>
      <c r="Z419" t="str">
        <f ca="1">IFERROR(__xludf.DUMMYFUNCTION("""COMPUTED_VALUE"""),"ООО «СВ ТРАНС ГРУПП»")</f>
        <v>ООО «СВ ТРАНС ГРУПП»</v>
      </c>
      <c r="AA419" t="str">
        <f ca="1">IFERROR(__xludf.DUMMYFUNCTION("""COMPUTED_VALUE"""),"12-132")</f>
        <v>12-132</v>
      </c>
      <c r="AB419" t="str">
        <f ca="1">IFERROR(__xludf.DUMMYFUNCTION("""COMPUTED_VALUE"""),"40 ОД")</f>
        <v>40 ОД</v>
      </c>
      <c r="AC419" t="str">
        <f ca="1">IFERROR(__xludf.DUMMYFUNCTION("""COMPUTED_VALUE"""),"41190 ПОМОШНАЯ")</f>
        <v>41190 ПОМОШНАЯ</v>
      </c>
      <c r="AD419" t="str">
        <f ca="1">IFERROR(__xludf.DUMMYFUNCTION("""COMPUTED_VALUE"""),"22.05.21 07-01")</f>
        <v>22.05.21 07-01</v>
      </c>
      <c r="AE419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419" t="str">
        <f ca="1">IFERROR(__xludf.DUMMYFUNCTION("""COMPUTED_VALUE"""),"40 ОД")</f>
        <v>40 ОД</v>
      </c>
      <c r="AG419" t="str">
        <f ca="1">IFERROR(__xludf.DUMMYFUNCTION("""COMPUTED_VALUE"""),"41190 ПОМОШНАЯ")</f>
        <v>41190 ПОМОШНАЯ</v>
      </c>
      <c r="AH419" t="str">
        <f ca="1">IFERROR(__xludf.DUMMYFUNCTION("""COMPUTED_VALUE"""),"23.05.21 17-20")</f>
        <v>23.05.21 17-20</v>
      </c>
      <c r="AI419" s="21">
        <f ca="1">IFERROR(__xludf.DUMMYFUNCTION("""COMPUTED_VALUE"""),44420.3576851851)</f>
        <v>44420.357685185103</v>
      </c>
    </row>
    <row r="420" spans="1:35" ht="13" x14ac:dyDescent="0.15">
      <c r="A420">
        <f ca="1">IFERROR(__xludf.DUMMYFUNCTION("""COMPUTED_VALUE"""),1383)</f>
        <v>1383</v>
      </c>
      <c r="B420" t="str">
        <f ca="1">IFERROR(__xludf.DUMMYFUNCTION("""COMPUTED_VALUE"""),"Агрохимресурс")</f>
        <v>Агрохимресурс</v>
      </c>
      <c r="C420" t="str">
        <f ca="1">IFERROR(__xludf.DUMMYFUNCTION("""COMPUTED_VALUE"""),"СВ Транс")</f>
        <v>СВ Транс</v>
      </c>
      <c r="D420">
        <f ca="1">IFERROR(__xludf.DUMMYFUNCTION("""COMPUTED_VALUE"""),52226883)</f>
        <v>52226883</v>
      </c>
      <c r="E420" t="str">
        <f ca="1">IFERROR(__xludf.DUMMYFUNCTION("""COMPUTED_VALUE"""),"60 ПОЛУВАГОНЫ")</f>
        <v>60 ПОЛУВАГОНЫ</v>
      </c>
      <c r="F420">
        <f ca="1">IFERROR(__xludf.DUMMYFUNCTION("""COMPUTED_VALUE"""),43304)</f>
        <v>43304</v>
      </c>
      <c r="G420" t="str">
        <f ca="1">IFERROR(__xludf.DUMMYFUNCTION("""COMPUTED_VALUE"""),"КАРБАМИД")</f>
        <v>КАРБАМИД</v>
      </c>
      <c r="H420">
        <f ca="1">IFERROR(__xludf.DUMMYFUNCTION("""COMPUTED_VALUE"""),63)</f>
        <v>63</v>
      </c>
      <c r="I420">
        <f ca="1">IFERROR(__xludf.DUMMYFUNCTION("""COMPUTED_VALUE"""),2920)</f>
        <v>2920</v>
      </c>
      <c r="J420" t="str">
        <f ca="1">IFERROR(__xludf.DUMMYFUNCTION("""COMPUTED_VALUE"""),"2203 (32000-289-33000) ДАРНИЦА - ЖМЕРИНКА")</f>
        <v>2203 (32000-289-33000) ДАРНИЦА - ЖМЕРИНКА</v>
      </c>
      <c r="K420">
        <f ca="1">IFERROR(__xludf.DUMMYFUNCTION("""COMPUTED_VALUE"""),33580)</f>
        <v>33580</v>
      </c>
      <c r="L420" t="str">
        <f ca="1">IFERROR(__xludf.DUMMYFUNCTION("""COMPUTED_VALUE"""),"ВИННИЦА")</f>
        <v>ВИННИЦА</v>
      </c>
      <c r="M420" t="str">
        <f ca="1">IFERROR(__xludf.DUMMYFUNCTION("""COMPUTED_VALUE"""),"11.08.21 14-38")</f>
        <v>11.08.21 14-38</v>
      </c>
      <c r="N420" t="str">
        <f ca="1">IFERROR(__xludf.DUMMYFUNCTION("""COMPUTED_VALUE"""),"01 ПРИБ")</f>
        <v>01 ПРИБ</v>
      </c>
      <c r="O420">
        <f ca="1">IFERROR(__xludf.DUMMYFUNCTION("""COMPUTED_VALUE"""),40770)</f>
        <v>40770</v>
      </c>
      <c r="P420" t="str">
        <f ca="1">IFERROR(__xludf.DUMMYFUNCTION("""COMPUTED_VALUE"""),"КНЯЖЕВО")</f>
        <v>КНЯЖЕВО</v>
      </c>
      <c r="Q420">
        <f ca="1">IFERROR(__xludf.DUMMYFUNCTION("""COMPUTED_VALUE"""),32430)</f>
        <v>32430</v>
      </c>
      <c r="R420" t="str">
        <f ca="1">IFERROR(__xludf.DUMMYFUNCTION("""COMPUTED_VALUE"""),"ГОЛУБИЧИ")</f>
        <v>ГОЛУБИЧИ</v>
      </c>
      <c r="S420" t="str">
        <f ca="1">IFERROR(__xludf.DUMMYFUNCTION("""COMPUTED_VALUE"""),"02.08.21 10-50")</f>
        <v>02.08.21 10-50</v>
      </c>
      <c r="T420">
        <f ca="1">IFERROR(__xludf.DUMMYFUNCTION("""COMPUTED_VALUE"""),4165)</f>
        <v>4165</v>
      </c>
      <c r="U420" t="str">
        <f ca="1">IFERROR(__xludf.DUMMYFUNCTION("""COMPUTED_VALUE"""),"19.05.2024 ДР")</f>
        <v>19.05.2024 ДР</v>
      </c>
      <c r="Z420" t="str">
        <f ca="1">IFERROR(__xludf.DUMMYFUNCTION("""COMPUTED_VALUE"""),"ООО «СВ ТРАНС ГРУПП»")</f>
        <v>ООО «СВ ТРАНС ГРУПП»</v>
      </c>
      <c r="AA420" t="str">
        <f ca="1">IFERROR(__xludf.DUMMYFUNCTION("""COMPUTED_VALUE"""),"12-132")</f>
        <v>12-132</v>
      </c>
      <c r="AB420" t="str">
        <f ca="1">IFERROR(__xludf.DUMMYFUNCTION("""COMPUTED_VALUE"""),"40 ОД")</f>
        <v>40 ОД</v>
      </c>
      <c r="AC420" t="str">
        <f ca="1">IFERROR(__xludf.DUMMYFUNCTION("""COMPUTED_VALUE"""),"41190 ПОМОШНАЯ")</f>
        <v>41190 ПОМОШНАЯ</v>
      </c>
      <c r="AD420" t="str">
        <f ca="1">IFERROR(__xludf.DUMMYFUNCTION("""COMPUTED_VALUE"""),"19.05.21 07-01")</f>
        <v>19.05.21 07-01</v>
      </c>
      <c r="AE420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420" t="str">
        <f ca="1">IFERROR(__xludf.DUMMYFUNCTION("""COMPUTED_VALUE"""),"40 ОД")</f>
        <v>40 ОД</v>
      </c>
      <c r="AG420" t="str">
        <f ca="1">IFERROR(__xludf.DUMMYFUNCTION("""COMPUTED_VALUE"""),"41190 ПОМОШНАЯ")</f>
        <v>41190 ПОМОШНАЯ</v>
      </c>
      <c r="AH420" t="str">
        <f ca="1">IFERROR(__xludf.DUMMYFUNCTION("""COMPUTED_VALUE"""),"19.05.21 17-30")</f>
        <v>19.05.21 17-30</v>
      </c>
      <c r="AI420" s="21">
        <f ca="1">IFERROR(__xludf.DUMMYFUNCTION("""COMPUTED_VALUE"""),44420.3576851851)</f>
        <v>44420.357685185103</v>
      </c>
    </row>
    <row r="421" spans="1:35" ht="13" x14ac:dyDescent="0.15">
      <c r="A421">
        <f ca="1">IFERROR(__xludf.DUMMYFUNCTION("""COMPUTED_VALUE"""),1456)</f>
        <v>1456</v>
      </c>
      <c r="B421" t="str">
        <f ca="1">IFERROR(__xludf.DUMMYFUNCTION("""COMPUTED_VALUE"""),"Чужие")</f>
        <v>Чужие</v>
      </c>
      <c r="C421" t="str">
        <f ca="1">IFERROR(__xludf.DUMMYFUNCTION("""COMPUTED_VALUE"""),"Стиль Кепитал")</f>
        <v>Стиль Кепитал</v>
      </c>
      <c r="D421">
        <f ca="1">IFERROR(__xludf.DUMMYFUNCTION("""COMPUTED_VALUE"""),56408107)</f>
        <v>56408107</v>
      </c>
      <c r="E421" t="str">
        <f ca="1">IFERROR(__xludf.DUMMYFUNCTION("""COMPUTED_VALUE"""),"60 ПОЛУВАГОНЫ")</f>
        <v>60 ПОЛУВАГОНЫ</v>
      </c>
      <c r="F421">
        <f ca="1">IFERROR(__xludf.DUMMYFUNCTION("""COMPUTED_VALUE"""),23239)</f>
        <v>23239</v>
      </c>
      <c r="G421" t="str">
        <f ca="1">IFERROR(__xludf.DUMMYFUNCTION("""COMPUTED_VALUE"""),"ЩЕБЕНЬ ГРАНИТ")</f>
        <v>ЩЕБЕНЬ ГРАНИТ</v>
      </c>
      <c r="H421">
        <f ca="1">IFERROR(__xludf.DUMMYFUNCTION("""COMPUTED_VALUE"""),71)</f>
        <v>71</v>
      </c>
      <c r="I421">
        <f ca="1">IFERROR(__xludf.DUMMYFUNCTION("""COMPUTED_VALUE"""),2644)</f>
        <v>2644</v>
      </c>
      <c r="J421" t="str">
        <f ca="1">IFERROR(__xludf.DUMMYFUNCTION("""COMPUTED_VALUE"""),"3622 (44020-282-44000) ОСНОВА - ХАРЬКОВ-СОРТ")</f>
        <v>3622 (44020-282-44000) ОСНОВА - ХАРЬКОВ-СОРТ</v>
      </c>
      <c r="K421">
        <f ca="1">IFERROR(__xludf.DUMMYFUNCTION("""COMPUTED_VALUE"""),44000)</f>
        <v>44000</v>
      </c>
      <c r="L421" t="str">
        <f ca="1">IFERROR(__xludf.DUMMYFUNCTION("""COMPUTED_VALUE"""),"ХАРЬКОВ-СОРТ")</f>
        <v>ХАРЬКОВ-СОРТ</v>
      </c>
      <c r="M421" t="str">
        <f ca="1">IFERROR(__xludf.DUMMYFUNCTION("""COMPUTED_VALUE"""),"12.08.21 02-07")</f>
        <v>12.08.21 02-07</v>
      </c>
      <c r="N421" t="str">
        <f ca="1">IFERROR(__xludf.DUMMYFUNCTION("""COMPUTED_VALUE"""),"51 ПРИБ")</f>
        <v>51 ПРИБ</v>
      </c>
      <c r="O421">
        <f ca="1">IFERROR(__xludf.DUMMYFUNCTION("""COMPUTED_VALUE"""),44970)</f>
        <v>44970</v>
      </c>
      <c r="P421" t="str">
        <f ca="1">IFERROR(__xludf.DUMMYFUNCTION("""COMPUTED_VALUE"""),"БУДЫ")</f>
        <v>БУДЫ</v>
      </c>
      <c r="Q421">
        <f ca="1">IFERROR(__xludf.DUMMYFUNCTION("""COMPUTED_VALUE"""),34650)</f>
        <v>34650</v>
      </c>
      <c r="R421" t="str">
        <f ca="1">IFERROR(__xludf.DUMMYFUNCTION("""COMPUTED_VALUE"""),"БЕХИ")</f>
        <v>БЕХИ</v>
      </c>
      <c r="S421" t="str">
        <f ca="1">IFERROR(__xludf.DUMMYFUNCTION("""COMPUTED_VALUE"""),"05.08.21 19-25")</f>
        <v>05.08.21 19-25</v>
      </c>
      <c r="T421">
        <f ca="1">IFERROR(__xludf.DUMMYFUNCTION("""COMPUTED_VALUE"""),5380)</f>
        <v>5380</v>
      </c>
      <c r="U421" t="str">
        <f ca="1">IFERROR(__xludf.DUMMYFUNCTION("""COMPUTED_VALUE"""),"05.10.2023 ДР")</f>
        <v>05.10.2023 ДР</v>
      </c>
      <c r="Z421" t="str">
        <f ca="1">IFERROR(__xludf.DUMMYFUNCTION("""COMPUTED_VALUE"""),"ООО «СТИЛЬ-КЕПИТАЛ»")</f>
        <v>ООО «СТИЛЬ-КЕПИТАЛ»</v>
      </c>
      <c r="AA421" t="str">
        <f ca="1">IFERROR(__xludf.DUMMYFUNCTION("""COMPUTED_VALUE"""),"12-141")</f>
        <v>12-141</v>
      </c>
      <c r="AB421" t="str">
        <f ca="1">IFERROR(__xludf.DUMMYFUNCTION("""COMPUTED_VALUE"""),"32 Ю-ЗАП")</f>
        <v>32 Ю-ЗАП</v>
      </c>
      <c r="AC421" t="str">
        <f ca="1">IFERROR(__xludf.DUMMYFUNCTION("""COMPUTED_VALUE"""),"33000 ЖМЕРИНКА")</f>
        <v>33000 ЖМЕРИНКА</v>
      </c>
      <c r="AD421" t="str">
        <f ca="1">IFERROR(__xludf.DUMMYFUNCTION("""COMPUTED_VALUE"""),"28.09.20 15-18")</f>
        <v>28.09.20 15-18</v>
      </c>
      <c r="AE421" t="str">
        <f ca="1">IFERROR(__xludf.DUMMYFUNCTION("""COMPUTED_VALUE"""),"571 ИCТEК КAЛЕНДАРНЫЙ CPOК КAПИТAЛЬНОГО PEМOНТA")</f>
        <v>571 ИCТEК КAЛЕНДАРНЫЙ CPOК КAПИТAЛЬНОГО PEМOНТA</v>
      </c>
      <c r="AF421" t="str">
        <f ca="1">IFERROR(__xludf.DUMMYFUNCTION("""COMPUTED_VALUE"""),"32 Ю-ЗАП")</f>
        <v>32 Ю-ЗАП</v>
      </c>
      <c r="AG421" t="str">
        <f ca="1">IFERROR(__xludf.DUMMYFUNCTION("""COMPUTED_VALUE"""),"33000 ЖМЕРИНКА")</f>
        <v>33000 ЖМЕРИНКА</v>
      </c>
      <c r="AH421" t="str">
        <f ca="1">IFERROR(__xludf.DUMMYFUNCTION("""COMPUTED_VALUE"""),"05.10.20 11-43")</f>
        <v>05.10.20 11-43</v>
      </c>
      <c r="AI421" s="21">
        <f ca="1">IFERROR(__xludf.DUMMYFUNCTION("""COMPUTED_VALUE"""),44420.3576851851)</f>
        <v>44420.357685185103</v>
      </c>
    </row>
    <row r="422" spans="1:35" ht="13" x14ac:dyDescent="0.15">
      <c r="A422">
        <f ca="1">IFERROR(__xludf.DUMMYFUNCTION("""COMPUTED_VALUE"""),1457)</f>
        <v>1457</v>
      </c>
      <c r="B422" t="str">
        <f ca="1">IFERROR(__xludf.DUMMYFUNCTION("""COMPUTED_VALUE"""),"Чужие")</f>
        <v>Чужие</v>
      </c>
      <c r="C422" t="str">
        <f ca="1">IFERROR(__xludf.DUMMYFUNCTION("""COMPUTED_VALUE"""),"Е-ТРЕК")</f>
        <v>Е-ТРЕК</v>
      </c>
      <c r="D422">
        <f ca="1">IFERROR(__xludf.DUMMYFUNCTION("""COMPUTED_VALUE"""),56663669)</f>
        <v>56663669</v>
      </c>
      <c r="E422" t="str">
        <f ca="1">IFERROR(__xludf.DUMMYFUNCTION("""COMPUTED_VALUE"""),"60 ПОЛУВАГОНЫ")</f>
        <v>60 ПОЛУВАГОНЫ</v>
      </c>
      <c r="F422">
        <f ca="1">IFERROR(__xludf.DUMMYFUNCTION("""COMPUTED_VALUE"""),24146)</f>
        <v>24146</v>
      </c>
      <c r="G422" t="str">
        <f ca="1">IFERROR(__xludf.DUMMYFUNCTION("""COMPUTED_VALUE"""),"ПЕСОК КВАРЦ")</f>
        <v>ПЕСОК КВАРЦ</v>
      </c>
      <c r="H422">
        <f ca="1">IFERROR(__xludf.DUMMYFUNCTION("""COMPUTED_VALUE"""),69)</f>
        <v>69</v>
      </c>
      <c r="I422">
        <f ca="1">IFERROR(__xludf.DUMMYFUNCTION("""COMPUTED_VALUE"""),3402)</f>
        <v>3402</v>
      </c>
      <c r="J422" t="str">
        <f ca="1">IFERROR(__xludf.DUMMYFUNCTION("""COMPUTED_VALUE"""),"3801 (43040-001-43000) СТАРОВЕРОВКА - КУПЯНСК-СОРТ")</f>
        <v>3801 (43040-001-43000) СТАРОВЕРОВКА - КУПЯНСК-СОРТ</v>
      </c>
      <c r="K422">
        <f ca="1">IFERROR(__xludf.DUMMYFUNCTION("""COMPUTED_VALUE"""),43040)</f>
        <v>43040</v>
      </c>
      <c r="L422" t="str">
        <f ca="1">IFERROR(__xludf.DUMMYFUNCTION("""COMPUTED_VALUE"""),"СТАРОВЕРОВКА")</f>
        <v>СТАРОВЕРОВКА</v>
      </c>
      <c r="M422" t="str">
        <f ca="1">IFERROR(__xludf.DUMMYFUNCTION("""COMPUTED_VALUE"""),"12.08.21 06-35")</f>
        <v>12.08.21 06-35</v>
      </c>
      <c r="N422" t="str">
        <f ca="1">IFERROR(__xludf.DUMMYFUNCTION("""COMPUTED_VALUE"""),"05 ФОРМ")</f>
        <v>05 ФОРМ</v>
      </c>
      <c r="O422">
        <f ca="1">IFERROR(__xludf.DUMMYFUNCTION("""COMPUTED_VALUE"""),46350)</f>
        <v>46350</v>
      </c>
      <c r="P422" t="str">
        <f ca="1">IFERROR(__xludf.DUMMYFUNCTION("""COMPUTED_VALUE"""),"ПЕРЕДАТОЧНАЯ")</f>
        <v>ПЕРЕДАТОЧНАЯ</v>
      </c>
      <c r="Q422">
        <f ca="1">IFERROR(__xludf.DUMMYFUNCTION("""COMPUTED_VALUE"""),43040)</f>
        <v>43040</v>
      </c>
      <c r="R422" t="str">
        <f ca="1">IFERROR(__xludf.DUMMYFUNCTION("""COMPUTED_VALUE"""),"СТАРОВЕРОВКА")</f>
        <v>СТАРОВЕРОВКА</v>
      </c>
      <c r="S422" t="str">
        <f ca="1">IFERROR(__xludf.DUMMYFUNCTION("""COMPUTED_VALUE"""),"11.08.21 23-01")</f>
        <v>11.08.21 23-01</v>
      </c>
      <c r="T422">
        <f ca="1">IFERROR(__xludf.DUMMYFUNCTION("""COMPUTED_VALUE"""),5651)</f>
        <v>5651</v>
      </c>
      <c r="U422" t="str">
        <f ca="1">IFERROR(__xludf.DUMMYFUNCTION("""COMPUTED_VALUE"""),"26.05.2022 ДР")</f>
        <v>26.05.2022 ДР</v>
      </c>
      <c r="Z422" t="str">
        <f ca="1">IFERROR(__xludf.DUMMYFUNCTION("""COMPUTED_VALUE"""),"ООО «Э-ТРЭК»")</f>
        <v>ООО «Э-ТРЭК»</v>
      </c>
      <c r="AA422" t="str">
        <f ca="1">IFERROR(__xludf.DUMMYFUNCTION("""COMPUTED_VALUE"""),"12-753")</f>
        <v>12-753</v>
      </c>
      <c r="AB422" t="str">
        <f ca="1">IFERROR(__xludf.DUMMYFUNCTION("""COMPUTED_VALUE"""),"45 ПРИДН")</f>
        <v>45 ПРИДН</v>
      </c>
      <c r="AC422" t="str">
        <f ca="1">IFERROR(__xludf.DUMMYFUNCTION("""COMPUTED_VALUE"""),"45580 КАМЕНСКОЕ")</f>
        <v>45580 КАМЕНСКОЕ</v>
      </c>
      <c r="AD422" t="str">
        <f ca="1">IFERROR(__xludf.DUMMYFUNCTION("""COMPUTED_VALUE"""),"14.07.21 08-05")</f>
        <v>14.07.21 08-05</v>
      </c>
      <c r="AE422" t="str">
        <f ca="1">IFERROR(__xludf.DUMMYFUNCTION("""COMPUTED_VALUE"""),"540 НEИCПPAВНOCТЬ ЗAПOPA ЛЮКA")</f>
        <v>540 НEИCПPAВНOCТЬ ЗAПOPA ЛЮКA</v>
      </c>
      <c r="AF422" t="str">
        <f ca="1">IFERROR(__xludf.DUMMYFUNCTION("""COMPUTED_VALUE"""),"45 ПРИДН")</f>
        <v>45 ПРИДН</v>
      </c>
      <c r="AG422" t="str">
        <f ca="1">IFERROR(__xludf.DUMMYFUNCTION("""COMPUTED_VALUE"""),"45580 КАМЕНСКОЕ")</f>
        <v>45580 КАМЕНСКОЕ</v>
      </c>
      <c r="AH422" t="str">
        <f ca="1">IFERROR(__xludf.DUMMYFUNCTION("""COMPUTED_VALUE"""),"14.07.21 13-50")</f>
        <v>14.07.21 13-50</v>
      </c>
      <c r="AI422" s="21">
        <f ca="1">IFERROR(__xludf.DUMMYFUNCTION("""COMPUTED_VALUE"""),44420.3576851851)</f>
        <v>44420.357685185103</v>
      </c>
    </row>
    <row r="423" spans="1:35" ht="13" x14ac:dyDescent="0.15">
      <c r="A423">
        <f ca="1">IFERROR(__xludf.DUMMYFUNCTION("""COMPUTED_VALUE"""),1458)</f>
        <v>1458</v>
      </c>
      <c r="B423" t="str">
        <f ca="1">IFERROR(__xludf.DUMMYFUNCTION("""COMPUTED_VALUE"""),"Чужие")</f>
        <v>Чужие</v>
      </c>
      <c r="C423" t="str">
        <f ca="1">IFERROR(__xludf.DUMMYFUNCTION("""COMPUTED_VALUE"""),"Е-ТРЕК")</f>
        <v>Е-ТРЕК</v>
      </c>
      <c r="D423">
        <f ca="1">IFERROR(__xludf.DUMMYFUNCTION("""COMPUTED_VALUE"""),58335423)</f>
        <v>58335423</v>
      </c>
      <c r="E423" t="str">
        <f ca="1">IFERROR(__xludf.DUMMYFUNCTION("""COMPUTED_VALUE"""),"60 ПОЛУВАГОНЫ")</f>
        <v>60 ПОЛУВАГОНЫ</v>
      </c>
      <c r="F423">
        <f ca="1">IFERROR(__xludf.DUMMYFUNCTION("""COMPUTED_VALUE"""),53106)</f>
        <v>53106</v>
      </c>
      <c r="G423" t="str">
        <f ca="1">IFERROR(__xludf.DUMMYFUNCTION("""COMPUTED_VALUE"""),"СОЛЬ ТЕХНИЧ")</f>
        <v>СОЛЬ ТЕХНИЧ</v>
      </c>
      <c r="H423">
        <f ca="1">IFERROR(__xludf.DUMMYFUNCTION("""COMPUTED_VALUE"""),70)</f>
        <v>70</v>
      </c>
      <c r="I423">
        <f ca="1">IFERROR(__xludf.DUMMYFUNCTION("""COMPUTED_VALUE"""),3526)</f>
        <v>3526</v>
      </c>
      <c r="J423" t="str">
        <f ca="1">IFERROR(__xludf.DUMMYFUNCTION("""COMPUTED_VALUE"""),"3743 (03540-037-03526) АВТОВО-ПЕРЕ -")</f>
        <v>3743 (03540-037-03526) АВТОВО-ПЕРЕ -</v>
      </c>
      <c r="K423">
        <f ca="1">IFERROR(__xludf.DUMMYFUNCTION("""COMPUTED_VALUE"""),35260)</f>
        <v>35260</v>
      </c>
      <c r="L423" t="str">
        <f ca="1">IFERROR(__xludf.DUMMYFUNCTION("""COMPUTED_VALUE"""),"ИЗОВ-Э-ПКП")</f>
        <v>ИЗОВ-Э-ПКП</v>
      </c>
      <c r="M423" t="str">
        <f ca="1">IFERROR(__xludf.DUMMYFUNCTION("""COMPUTED_VALUE"""),"09.08.21 06-30")</f>
        <v>09.08.21 06-30</v>
      </c>
      <c r="N423" t="str">
        <f ca="1">IFERROR(__xludf.DUMMYFUNCTION("""COMPUTED_VALUE"""),"65 РСФП")</f>
        <v>65 РСФП</v>
      </c>
      <c r="O423">
        <f ca="1">IFERROR(__xludf.DUMMYFUNCTION("""COMPUTED_VALUE"""),35260)</f>
        <v>35260</v>
      </c>
      <c r="P423" t="str">
        <f ca="1">IFERROR(__xludf.DUMMYFUNCTION("""COMPUTED_VALUE"""),"ИЗОВ-Э-ПКП")</f>
        <v>ИЗОВ-Э-ПКП</v>
      </c>
      <c r="Q423">
        <f ca="1">IFERROR(__xludf.DUMMYFUNCTION("""COMPUTED_VALUE"""),49480)</f>
        <v>49480</v>
      </c>
      <c r="R423" t="str">
        <f ca="1">IFERROR(__xludf.DUMMYFUNCTION("""COMPUTED_VALUE"""),"СОЛЬ")</f>
        <v>СОЛЬ</v>
      </c>
      <c r="S423" t="str">
        <f ca="1">IFERROR(__xludf.DUMMYFUNCTION("""COMPUTED_VALUE"""),"02.08.21 14-55")</f>
        <v>02.08.21 14-55</v>
      </c>
      <c r="T423">
        <f ca="1">IFERROR(__xludf.DUMMYFUNCTION("""COMPUTED_VALUE"""),4714)</f>
        <v>4714</v>
      </c>
      <c r="U423" t="str">
        <f ca="1">IFERROR(__xludf.DUMMYFUNCTION("""COMPUTED_VALUE"""),"21.07.2023 КР")</f>
        <v>21.07.2023 КР</v>
      </c>
      <c r="Z423" t="str">
        <f ca="1">IFERROR(__xludf.DUMMYFUNCTION("""COMPUTED_VALUE"""),"ООО ""ВРКД""")</f>
        <v>ООО "ВРКД"</v>
      </c>
      <c r="AA423" t="str">
        <f ca="1">IFERROR(__xludf.DUMMYFUNCTION("""COMPUTED_VALUE"""),"12-9790")</f>
        <v>12-9790</v>
      </c>
      <c r="AB423" t="str">
        <f ca="1">IFERROR(__xludf.DUMMYFUNCTION("""COMPUTED_VALUE"""),"13 БЕЛ")</f>
        <v>13 БЕЛ</v>
      </c>
      <c r="AC423" t="str">
        <f ca="1">IFERROR(__xludf.DUMMYFUNCTION("""COMPUTED_VALUE"""),"15380 КАЛИНКОВИЧИ")</f>
        <v>15380 КАЛИНКОВИЧИ</v>
      </c>
      <c r="AD423" t="str">
        <f ca="1">IFERROR(__xludf.DUMMYFUNCTION("""COMPUTED_VALUE"""),"01.05.21 19-32")</f>
        <v>01.05.21 19-32</v>
      </c>
      <c r="AE423" t="str">
        <f ca="1">IFERROR(__xludf.DUMMYFUNCTION("""COMPUTED_VALUE"""),"403 НEИCПPAВНОСТЬ ВOЗДУXOPACПPEДEЛИТEЛЯ")</f>
        <v>403 НEИCПPAВНОСТЬ ВOЗДУXOPACПPEДEЛИТEЛЯ</v>
      </c>
      <c r="AF423" t="str">
        <f ca="1">IFERROR(__xludf.DUMMYFUNCTION("""COMPUTED_VALUE"""),"13 БЕЛ")</f>
        <v>13 БЕЛ</v>
      </c>
      <c r="AG423" t="str">
        <f ca="1">IFERROR(__xludf.DUMMYFUNCTION("""COMPUTED_VALUE"""),"15000 ГОМЕЛЬ")</f>
        <v>15000 ГОМЕЛЬ</v>
      </c>
      <c r="AH423" t="str">
        <f ca="1">IFERROR(__xludf.DUMMYFUNCTION("""COMPUTED_VALUE"""),"24.05.21 16-20")</f>
        <v>24.05.21 16-20</v>
      </c>
      <c r="AI423" s="21">
        <f ca="1">IFERROR(__xludf.DUMMYFUNCTION("""COMPUTED_VALUE"""),44420.3576851851)</f>
        <v>44420.357685185103</v>
      </c>
    </row>
    <row r="424" spans="1:35" ht="13" x14ac:dyDescent="0.15">
      <c r="A424">
        <f ca="1">IFERROR(__xludf.DUMMYFUNCTION("""COMPUTED_VALUE"""),1459)</f>
        <v>1459</v>
      </c>
      <c r="B424" t="str">
        <f ca="1">IFERROR(__xludf.DUMMYFUNCTION("""COMPUTED_VALUE"""),"Чужие")</f>
        <v>Чужие</v>
      </c>
      <c r="C424" t="str">
        <f ca="1">IFERROR(__xludf.DUMMYFUNCTION("""COMPUTED_VALUE"""),"Стиль Кепитал")</f>
        <v>Стиль Кепитал</v>
      </c>
      <c r="D424">
        <f ca="1">IFERROR(__xludf.DUMMYFUNCTION("""COMPUTED_VALUE"""),56343874)</f>
        <v>56343874</v>
      </c>
      <c r="E424" t="str">
        <f ca="1">IFERROR(__xludf.DUMMYFUNCTION("""COMPUTED_VALUE"""),"60 ПОЛУВАГОНЫ")</f>
        <v>60 ПОЛУВАГОНЫ</v>
      </c>
      <c r="F424">
        <f ca="1">IFERROR(__xludf.DUMMYFUNCTION("""COMPUTED_VALUE"""),23239)</f>
        <v>23239</v>
      </c>
      <c r="G424" t="str">
        <f ca="1">IFERROR(__xludf.DUMMYFUNCTION("""COMPUTED_VALUE"""),"ЩЕБЕНЬ ГРАНИТ")</f>
        <v>ЩЕБЕНЬ ГРАНИТ</v>
      </c>
      <c r="H424">
        <f ca="1">IFERROR(__xludf.DUMMYFUNCTION("""COMPUTED_VALUE"""),70)</f>
        <v>70</v>
      </c>
      <c r="I424">
        <f ca="1">IFERROR(__xludf.DUMMYFUNCTION("""COMPUTED_VALUE"""),2644)</f>
        <v>2644</v>
      </c>
      <c r="J424" t="str">
        <f ca="1">IFERROR(__xludf.DUMMYFUNCTION("""COMPUTED_VALUE"""),"9503 (34650-122-34640) БЕХИ - КОРОСТ-ПОДОЛ")</f>
        <v>9503 (34650-122-34640) БЕХИ - КОРОСТ-ПОДОЛ</v>
      </c>
      <c r="K424">
        <f ca="1">IFERROR(__xludf.DUMMYFUNCTION("""COMPUTED_VALUE"""),34640)</f>
        <v>34640</v>
      </c>
      <c r="L424" t="str">
        <f ca="1">IFERROR(__xludf.DUMMYFUNCTION("""COMPUTED_VALUE"""),"КОРОСТ-ПОДОЛ")</f>
        <v>КОРОСТ-ПОДОЛ</v>
      </c>
      <c r="M424" t="str">
        <f ca="1">IFERROR(__xludf.DUMMYFUNCTION("""COMPUTED_VALUE"""),"12.08.21 05-37")</f>
        <v>12.08.21 05-37</v>
      </c>
      <c r="N424" t="str">
        <f ca="1">IFERROR(__xludf.DUMMYFUNCTION("""COMPUTED_VALUE"""),"51 ПРИБ")</f>
        <v>51 ПРИБ</v>
      </c>
      <c r="O424">
        <f ca="1">IFERROR(__xludf.DUMMYFUNCTION("""COMPUTED_VALUE"""),44970)</f>
        <v>44970</v>
      </c>
      <c r="P424" t="str">
        <f ca="1">IFERROR(__xludf.DUMMYFUNCTION("""COMPUTED_VALUE"""),"БУДЫ")</f>
        <v>БУДЫ</v>
      </c>
      <c r="Q424">
        <f ca="1">IFERROR(__xludf.DUMMYFUNCTION("""COMPUTED_VALUE"""),34650)</f>
        <v>34650</v>
      </c>
      <c r="R424" t="str">
        <f ca="1">IFERROR(__xludf.DUMMYFUNCTION("""COMPUTED_VALUE"""),"БЕХИ")</f>
        <v>БЕХИ</v>
      </c>
      <c r="S424" t="str">
        <f ca="1">IFERROR(__xludf.DUMMYFUNCTION("""COMPUTED_VALUE"""),"11.08.21 11-05")</f>
        <v>11.08.21 11-05</v>
      </c>
      <c r="T424">
        <f ca="1">IFERROR(__xludf.DUMMYFUNCTION("""COMPUTED_VALUE"""),5380)</f>
        <v>5380</v>
      </c>
      <c r="U424" t="str">
        <f ca="1">IFERROR(__xludf.DUMMYFUNCTION("""COMPUTED_VALUE"""),"05.06.2024 ДР")</f>
        <v>05.06.2024 ДР</v>
      </c>
      <c r="Z424" t="str">
        <f ca="1">IFERROR(__xludf.DUMMYFUNCTION("""COMPUTED_VALUE"""),"ООО «СТИЛЬ-КЕПИТАЛ»")</f>
        <v>ООО «СТИЛЬ-КЕПИТАЛ»</v>
      </c>
      <c r="AA424" t="str">
        <f ca="1">IFERROR(__xludf.DUMMYFUNCTION("""COMPUTED_VALUE"""),"12-132")</f>
        <v>12-132</v>
      </c>
      <c r="AB424" t="str">
        <f ca="1">IFERROR(__xludf.DUMMYFUNCTION("""COMPUTED_VALUE"""),"32 Ю-ЗАП")</f>
        <v>32 Ю-ЗАП</v>
      </c>
      <c r="AC424" t="str">
        <f ca="1">IFERROR(__xludf.DUMMYFUNCTION("""COMPUTED_VALUE"""),"33000 ЖМЕРИНКА")</f>
        <v>33000 ЖМЕРИНКА</v>
      </c>
      <c r="AD424" t="str">
        <f ca="1">IFERROR(__xludf.DUMMYFUNCTION("""COMPUTED_VALUE"""),"29.05.21 11-03")</f>
        <v>29.05.21 11-03</v>
      </c>
      <c r="AE424" t="str">
        <f ca="1">IFERROR(__xludf.DUMMYFUNCTION("""COMPUTED_VALUE"""),"571 ИCТEК КAЛЕНДАРНЫЙ CPOК КAПИТAЛЬНОГО PEМOНТA")</f>
        <v>571 ИCТEК КAЛЕНДАРНЫЙ CPOК КAПИТAЛЬНОГО PEМOНТA</v>
      </c>
      <c r="AF424" t="str">
        <f ca="1">IFERROR(__xludf.DUMMYFUNCTION("""COMPUTED_VALUE"""),"32 Ю-ЗАП")</f>
        <v>32 Ю-ЗАП</v>
      </c>
      <c r="AG424" t="str">
        <f ca="1">IFERROR(__xludf.DUMMYFUNCTION("""COMPUTED_VALUE"""),"33000 ЖМЕРИНКА")</f>
        <v>33000 ЖМЕРИНКА</v>
      </c>
      <c r="AH424" t="str">
        <f ca="1">IFERROR(__xludf.DUMMYFUNCTION("""COMPUTED_VALUE"""),"05.06.21 13-49")</f>
        <v>05.06.21 13-49</v>
      </c>
      <c r="AI424" s="21">
        <f ca="1">IFERROR(__xludf.DUMMYFUNCTION("""COMPUTED_VALUE"""),44420.3576851851)</f>
        <v>44420.357685185103</v>
      </c>
    </row>
    <row r="425" spans="1:35" ht="13" x14ac:dyDescent="0.15">
      <c r="A425">
        <f ca="1">IFERROR(__xludf.DUMMYFUNCTION("""COMPUTED_VALUE"""),1460)</f>
        <v>1460</v>
      </c>
      <c r="B425" t="str">
        <f ca="1">IFERROR(__xludf.DUMMYFUNCTION("""COMPUTED_VALUE"""),"Техрейс")</f>
        <v>Техрейс</v>
      </c>
      <c r="C425" t="str">
        <f ca="1">IFERROR(__xludf.DUMMYFUNCTION("""COMPUTED_VALUE"""),"НВ-Транс")</f>
        <v>НВ-Транс</v>
      </c>
      <c r="D425">
        <f ca="1">IFERROR(__xludf.DUMMYFUNCTION("""COMPUTED_VALUE"""),56327166)</f>
        <v>56327166</v>
      </c>
      <c r="E425" t="str">
        <f ca="1">IFERROR(__xludf.DUMMYFUNCTION("""COMPUTED_VALUE"""),"60 ПОЛУВАГОНЫ")</f>
        <v>60 ПОЛУВАГОНЫ</v>
      </c>
      <c r="F425">
        <f ca="1">IFERROR(__xludf.DUMMYFUNCTION("""COMPUTED_VALUE"""),43619)</f>
        <v>43619</v>
      </c>
      <c r="G425" t="str">
        <f ca="1">IFERROR(__xludf.DUMMYFUNCTION("""COMPUTED_VALUE"""),"УДОБР ХИМ ПР")</f>
        <v>УДОБР ХИМ ПР</v>
      </c>
      <c r="H425">
        <f ca="1">IFERROR(__xludf.DUMMYFUNCTION("""COMPUTED_VALUE"""),68)</f>
        <v>68</v>
      </c>
      <c r="I425">
        <f ca="1">IFERROR(__xludf.DUMMYFUNCTION("""COMPUTED_VALUE"""),2154)</f>
        <v>2154</v>
      </c>
      <c r="J425" t="str">
        <f ca="1">IFERROR(__xludf.DUMMYFUNCTION("""COMPUTED_VALUE"""),"2001 (40000-402-41000) ОДЕССА-СОРТ - ЗНАМЕНКА")</f>
        <v>2001 (40000-402-41000) ОДЕССА-СОРТ - ЗНАМЕНКА</v>
      </c>
      <c r="K425">
        <f ca="1">IFERROR(__xludf.DUMMYFUNCTION("""COMPUTED_VALUE"""),40000)</f>
        <v>40000</v>
      </c>
      <c r="L425" t="str">
        <f ca="1">IFERROR(__xludf.DUMMYFUNCTION("""COMPUTED_VALUE"""),"ОДЕССА-СОРТ")</f>
        <v>ОДЕССА-СОРТ</v>
      </c>
      <c r="M425" t="str">
        <f ca="1">IFERROR(__xludf.DUMMYFUNCTION("""COMPUTED_VALUE"""),"12.08.21 06-22")</f>
        <v>12.08.21 06-22</v>
      </c>
      <c r="N425" t="str">
        <f ca="1">IFERROR(__xludf.DUMMYFUNCTION("""COMPUTED_VALUE"""),"71 ПРИЦ")</f>
        <v>71 ПРИЦ</v>
      </c>
      <c r="O425">
        <f ca="1">IFERROR(__xludf.DUMMYFUNCTION("""COMPUTED_VALUE"""),41130)</f>
        <v>41130</v>
      </c>
      <c r="P425" t="str">
        <f ca="1">IFERROR(__xludf.DUMMYFUNCTION("""COMPUTED_VALUE"""),"КАНАТОВО")</f>
        <v>КАНАТОВО</v>
      </c>
      <c r="Q425">
        <f ca="1">IFERROR(__xludf.DUMMYFUNCTION("""COMPUTED_VALUE"""),40210)</f>
        <v>40210</v>
      </c>
      <c r="R425" t="str">
        <f ca="1">IFERROR(__xludf.DUMMYFUNCTION("""COMPUTED_VALUE"""),"ЧЕРНО-ПОРТ-Э")</f>
        <v>ЧЕРНО-ПОРТ-Э</v>
      </c>
      <c r="S425" t="str">
        <f ca="1">IFERROR(__xludf.DUMMYFUNCTION("""COMPUTED_VALUE"""),"07.08.21 15-12")</f>
        <v>07.08.21 15-12</v>
      </c>
      <c r="T425">
        <f ca="1">IFERROR(__xludf.DUMMYFUNCTION("""COMPUTED_VALUE"""),4307)</f>
        <v>4307</v>
      </c>
      <c r="U425" t="str">
        <f ca="1">IFERROR(__xludf.DUMMYFUNCTION("""COMPUTED_VALUE"""),"25.06.2024 ДР")</f>
        <v>25.06.2024 ДР</v>
      </c>
      <c r="Z425" t="str">
        <f ca="1">IFERROR(__xludf.DUMMYFUNCTION("""COMPUTED_VALUE"""),"ООО «АЕДЕС»")</f>
        <v>ООО «АЕДЕС»</v>
      </c>
      <c r="AA425" t="str">
        <f ca="1">IFERROR(__xludf.DUMMYFUNCTION("""COMPUTED_VALUE"""),"12-132")</f>
        <v>12-132</v>
      </c>
      <c r="AB425" t="str">
        <f ca="1">IFERROR(__xludf.DUMMYFUNCTION("""COMPUTED_VALUE"""),"40 ОД")</f>
        <v>40 ОД</v>
      </c>
      <c r="AC425" t="str">
        <f ca="1">IFERROR(__xludf.DUMMYFUNCTION("""COMPUTED_VALUE"""),"41190 ПОМОШНАЯ")</f>
        <v>41190 ПОМОШНАЯ</v>
      </c>
      <c r="AD425" t="str">
        <f ca="1">IFERROR(__xludf.DUMMYFUNCTION("""COMPUTED_VALUE"""),"22.06.21 06-30")</f>
        <v>22.06.21 06-30</v>
      </c>
      <c r="AE425" t="str">
        <f ca="1">IFERROR(__xludf.DUMMYFUNCTION("""COMPUTED_VALUE"""),"571 ИCТEК КAЛЕНДАРНЫЙ CPOК КAПИТAЛЬНОГО PEМOНТA")</f>
        <v>571 ИCТEК КAЛЕНДАРНЫЙ CPOК КAПИТAЛЬНОГО PEМOНТA</v>
      </c>
      <c r="AF425" t="str">
        <f ca="1">IFERROR(__xludf.DUMMYFUNCTION("""COMPUTED_VALUE"""),"40 ОД")</f>
        <v>40 ОД</v>
      </c>
      <c r="AG425" t="str">
        <f ca="1">IFERROR(__xludf.DUMMYFUNCTION("""COMPUTED_VALUE"""),"41190 ПОМОШНАЯ")</f>
        <v>41190 ПОМОШНАЯ</v>
      </c>
      <c r="AH425" t="str">
        <f ca="1">IFERROR(__xludf.DUMMYFUNCTION("""COMPUTED_VALUE"""),"25.06.21 16-00")</f>
        <v>25.06.21 16-00</v>
      </c>
      <c r="AI425" s="21">
        <f ca="1">IFERROR(__xludf.DUMMYFUNCTION("""COMPUTED_VALUE"""),44420.3576851851)</f>
        <v>44420.357685185103</v>
      </c>
    </row>
    <row r="426" spans="1:35" ht="13" x14ac:dyDescent="0.15">
      <c r="A426">
        <f ca="1">IFERROR(__xludf.DUMMYFUNCTION("""COMPUTED_VALUE"""),1461)</f>
        <v>1461</v>
      </c>
      <c r="B426" t="str">
        <f ca="1">IFERROR(__xludf.DUMMYFUNCTION("""COMPUTED_VALUE"""),"Техрейс")</f>
        <v>Техрейс</v>
      </c>
      <c r="C426" t="str">
        <f ca="1">IFERROR(__xludf.DUMMYFUNCTION("""COMPUTED_VALUE"""),"НВ-Транс")</f>
        <v>НВ-Транс</v>
      </c>
      <c r="D426">
        <f ca="1">IFERROR(__xludf.DUMMYFUNCTION("""COMPUTED_VALUE"""),66388901)</f>
        <v>66388901</v>
      </c>
      <c r="E426" t="str">
        <f ca="1">IFERROR(__xludf.DUMMYFUNCTION("""COMPUTED_VALUE"""),"60 ПОЛУВАГОНЫ")</f>
        <v>60 ПОЛУВАГОНЫ</v>
      </c>
      <c r="F426">
        <f ca="1">IFERROR(__xludf.DUMMYFUNCTION("""COMPUTED_VALUE"""),42103)</f>
        <v>42103</v>
      </c>
      <c r="G426" t="str">
        <f ca="1">IFERROR(__xludf.DUMMYFUNCTION("""COMPUTED_VALUE"""),"ВАГОНЫ ЖД СВ")</f>
        <v>ВАГОНЫ ЖД СВ</v>
      </c>
      <c r="H426">
        <f ca="1">IFERROR(__xludf.DUMMYFUNCTION("""COMPUTED_VALUE"""),0)</f>
        <v>0</v>
      </c>
      <c r="I426">
        <f ca="1">IFERROR(__xludf.DUMMYFUNCTION("""COMPUTED_VALUE"""),5377)</f>
        <v>5377</v>
      </c>
      <c r="J426" t="str">
        <f ca="1">IFERROR(__xludf.DUMMYFUNCTION("""COMPUTED_VALUE"""),"1111 (49820-008-49600) ПЕРЕЕЗДНАЯ - ПОПАСНАЯ")</f>
        <v>1111 (49820-008-49600) ПЕРЕЕЗДНАЯ - ПОПАСНАЯ</v>
      </c>
      <c r="K426">
        <f ca="1">IFERROR(__xludf.DUMMYFUNCTION("""COMPUTED_VALUE"""),49820)</f>
        <v>49820</v>
      </c>
      <c r="L426" t="str">
        <f ca="1">IFERROR(__xludf.DUMMYFUNCTION("""COMPUTED_VALUE"""),"ПЕРЕЕЗДНАЯ")</f>
        <v>ПЕРЕЕЗДНАЯ</v>
      </c>
      <c r="M426" t="str">
        <f ca="1">IFERROR(__xludf.DUMMYFUNCTION("""COMPUTED_VALUE"""),"11.08.21 22-40")</f>
        <v>11.08.21 22-40</v>
      </c>
      <c r="N426" t="str">
        <f ca="1">IFERROR(__xludf.DUMMYFUNCTION("""COMPUTED_VALUE"""),"91 ПРДР")</f>
        <v>91 ПРДР</v>
      </c>
      <c r="O426">
        <f ca="1">IFERROR(__xludf.DUMMYFUNCTION("""COMPUTED_VALUE"""),49480)</f>
        <v>49480</v>
      </c>
      <c r="P426" t="str">
        <f ca="1">IFERROR(__xludf.DUMMYFUNCTION("""COMPUTED_VALUE"""),"СОЛЬ")</f>
        <v>СОЛЬ</v>
      </c>
      <c r="Q426">
        <f ca="1">IFERROR(__xludf.DUMMYFUNCTION("""COMPUTED_VALUE"""),49820)</f>
        <v>49820</v>
      </c>
      <c r="R426" t="str">
        <f ca="1">IFERROR(__xludf.DUMMYFUNCTION("""COMPUTED_VALUE"""),"ПЕРЕЕЗДНАЯ")</f>
        <v>ПЕРЕЕЗДНАЯ</v>
      </c>
      <c r="S426" t="str">
        <f ca="1">IFERROR(__xludf.DUMMYFUNCTION("""COMPUTED_VALUE"""),"11.08.21 17-00")</f>
        <v>11.08.21 17-00</v>
      </c>
      <c r="T426">
        <f ca="1">IFERROR(__xludf.DUMMYFUNCTION("""COMPUTED_VALUE"""),8200)</f>
        <v>8200</v>
      </c>
      <c r="U426" t="str">
        <f ca="1">IFERROR(__xludf.DUMMYFUNCTION("""COMPUTED_VALUE"""),"08.07.2024 ДР")</f>
        <v>08.07.2024 ДР</v>
      </c>
      <c r="Z426" t="str">
        <f ca="1">IFERROR(__xludf.DUMMYFUNCTION("""COMPUTED_VALUE"""),"ООО «АЕДЕС»")</f>
        <v>ООО «АЕДЕС»</v>
      </c>
      <c r="AA426" t="str">
        <f ca="1">IFERROR(__xludf.DUMMYFUNCTION("""COMPUTED_VALUE"""),"12-119")</f>
        <v>12-119</v>
      </c>
      <c r="AB426" t="str">
        <f ca="1">IFERROR(__xludf.DUMMYFUNCTION("""COMPUTED_VALUE"""),"40 ОД")</f>
        <v>40 ОД</v>
      </c>
      <c r="AC426" t="str">
        <f ca="1">IFERROR(__xludf.DUMMYFUNCTION("""COMPUTED_VALUE"""),"41190 ПОМОШНАЯ")</f>
        <v>41190 ПОМОШНАЯ</v>
      </c>
      <c r="AD426" t="str">
        <f ca="1">IFERROR(__xludf.DUMMYFUNCTION("""COMPUTED_VALUE"""),"25.06.21 06-30")</f>
        <v>25.06.21 06-30</v>
      </c>
      <c r="AE426" t="str">
        <f ca="1">IFERROR(__xludf.DUMMYFUNCTION("""COMPUTED_VALUE"""),"571 ИCТEК КAЛЕНДАРНЫЙ CPOК КAПИТAЛЬНОГО PEМOНТA")</f>
        <v>571 ИCТEК КAЛЕНДАРНЫЙ CPOК КAПИТAЛЬНОГО PEМOНТA</v>
      </c>
      <c r="AF426" t="str">
        <f ca="1">IFERROR(__xludf.DUMMYFUNCTION("""COMPUTED_VALUE"""),"40 ОД")</f>
        <v>40 ОД</v>
      </c>
      <c r="AG426" t="str">
        <f ca="1">IFERROR(__xludf.DUMMYFUNCTION("""COMPUTED_VALUE"""),"41190 ПОМОШНАЯ")</f>
        <v>41190 ПОМОШНАЯ</v>
      </c>
      <c r="AH426" t="str">
        <f ca="1">IFERROR(__xludf.DUMMYFUNCTION("""COMPUTED_VALUE"""),"08.07.21 16-30")</f>
        <v>08.07.21 16-30</v>
      </c>
      <c r="AI426" s="21">
        <f ca="1">IFERROR(__xludf.DUMMYFUNCTION("""COMPUTED_VALUE"""),44420.3576851851)</f>
        <v>44420.357685185103</v>
      </c>
    </row>
    <row r="427" spans="1:35" ht="13" x14ac:dyDescent="0.15">
      <c r="A427">
        <f ca="1">IFERROR(__xludf.DUMMYFUNCTION("""COMPUTED_VALUE"""),1462)</f>
        <v>1462</v>
      </c>
      <c r="B427" t="str">
        <f ca="1">IFERROR(__xludf.DUMMYFUNCTION("""COMPUTED_VALUE"""),"Чужие")</f>
        <v>Чужие</v>
      </c>
      <c r="C427" t="str">
        <f ca="1">IFERROR(__xludf.DUMMYFUNCTION("""COMPUTED_VALUE"""),"Е-ТРЕК")</f>
        <v>Е-ТРЕК</v>
      </c>
      <c r="D427">
        <f ca="1">IFERROR(__xludf.DUMMYFUNCTION("""COMPUTED_VALUE"""),53455242)</f>
        <v>53455242</v>
      </c>
      <c r="E427" t="str">
        <f ca="1">IFERROR(__xludf.DUMMYFUNCTION("""COMPUTED_VALUE"""),"60 ПОЛУВАГОНЫ")</f>
        <v>60 ПОЛУВАГОНЫ</v>
      </c>
      <c r="F427">
        <f ca="1">IFERROR(__xludf.DUMMYFUNCTION("""COMPUTED_VALUE"""),23239)</f>
        <v>23239</v>
      </c>
      <c r="G427" t="str">
        <f ca="1">IFERROR(__xludf.DUMMYFUNCTION("""COMPUTED_VALUE"""),"ЩЕБЕНЬ ГРАНИТ")</f>
        <v>ЩЕБЕНЬ ГРАНИТ</v>
      </c>
      <c r="H427">
        <f ca="1">IFERROR(__xludf.DUMMYFUNCTION("""COMPUTED_VALUE"""),69)</f>
        <v>69</v>
      </c>
      <c r="I427">
        <f ca="1">IFERROR(__xludf.DUMMYFUNCTION("""COMPUTED_VALUE"""),3254)</f>
        <v>3254</v>
      </c>
      <c r="J427" t="str">
        <f ca="1">IFERROR(__xludf.DUMMYFUNCTION("""COMPUTED_VALUE"""),"3622 (44020-282-44000) ОСНОВА - ХАРЬКОВ-СОРТ")</f>
        <v>3622 (44020-282-44000) ОСНОВА - ХАРЬКОВ-СОРТ</v>
      </c>
      <c r="K427">
        <f ca="1">IFERROR(__xludf.DUMMYFUNCTION("""COMPUTED_VALUE"""),44000)</f>
        <v>44000</v>
      </c>
      <c r="L427" t="str">
        <f ca="1">IFERROR(__xludf.DUMMYFUNCTION("""COMPUTED_VALUE"""),"ХАРЬКОВ-СОРТ")</f>
        <v>ХАРЬКОВ-СОРТ</v>
      </c>
      <c r="M427" t="str">
        <f ca="1">IFERROR(__xludf.DUMMYFUNCTION("""COMPUTED_VALUE"""),"12.08.21 02-07")</f>
        <v>12.08.21 02-07</v>
      </c>
      <c r="N427" t="str">
        <f ca="1">IFERROR(__xludf.DUMMYFUNCTION("""COMPUTED_VALUE"""),"51 ПРИБ")</f>
        <v>51 ПРИБ</v>
      </c>
      <c r="O427">
        <f ca="1">IFERROR(__xludf.DUMMYFUNCTION("""COMPUTED_VALUE"""),44000)</f>
        <v>44000</v>
      </c>
      <c r="P427" t="str">
        <f ca="1">IFERROR(__xludf.DUMMYFUNCTION("""COMPUTED_VALUE"""),"ХАРЬКОВ-СОРТ")</f>
        <v>ХАРЬКОВ-СОРТ</v>
      </c>
      <c r="Q427">
        <f ca="1">IFERROR(__xludf.DUMMYFUNCTION("""COMPUTED_VALUE"""),34590)</f>
        <v>34590</v>
      </c>
      <c r="R427" t="str">
        <f ca="1">IFERROR(__xludf.DUMMYFUNCTION("""COMPUTED_VALUE"""),"ТОПОРИЩЕ")</f>
        <v>ТОПОРИЩЕ</v>
      </c>
      <c r="S427" t="str">
        <f ca="1">IFERROR(__xludf.DUMMYFUNCTION("""COMPUTED_VALUE"""),"05.08.21 17-30")</f>
        <v>05.08.21 17-30</v>
      </c>
      <c r="T427">
        <f ca="1">IFERROR(__xludf.DUMMYFUNCTION("""COMPUTED_VALUE"""),6008)</f>
        <v>6008</v>
      </c>
      <c r="U427" t="str">
        <f ca="1">IFERROR(__xludf.DUMMYFUNCTION("""COMPUTED_VALUE"""),"11.10.2021 ДР")</f>
        <v>11.10.2021 ДР</v>
      </c>
      <c r="Z427" t="str">
        <f ca="1">IFERROR(__xludf.DUMMYFUNCTION("""COMPUTED_VALUE"""),"ООО «Э-ТРЭК»")</f>
        <v>ООО «Э-ТРЭК»</v>
      </c>
      <c r="AA427" t="str">
        <f ca="1">IFERROR(__xludf.DUMMYFUNCTION("""COMPUTED_VALUE"""),"12-532")</f>
        <v>12-532</v>
      </c>
      <c r="AB427" t="str">
        <f ca="1">IFERROR(__xludf.DUMMYFUNCTION("""COMPUTED_VALUE"""),"32 Ю-ЗАП")</f>
        <v>32 Ю-ЗАП</v>
      </c>
      <c r="AC427" t="str">
        <f ca="1">IFERROR(__xludf.DUMMYFUNCTION("""COMPUTED_VALUE"""),"34640 КОРОСТ-ПОДОЛ")</f>
        <v>34640 КОРОСТ-ПОДОЛ</v>
      </c>
      <c r="AD427" t="str">
        <f ca="1">IFERROR(__xludf.DUMMYFUNCTION("""COMPUTED_VALUE"""),"08.06.21 05-40")</f>
        <v>08.06.21 05-40</v>
      </c>
      <c r="AE427" t="str">
        <f ca="1">IFERROR(__xludf.DUMMYFUNCTION("""COMPUTED_VALUE"""),"540 НEИCПPAВНOCТЬ ЗAПOPA ЛЮКA")</f>
        <v>540 НEИCПPAВНOCТЬ ЗAПOPA ЛЮКA</v>
      </c>
      <c r="AF427" t="str">
        <f ca="1">IFERROR(__xludf.DUMMYFUNCTION("""COMPUTED_VALUE"""),"32 Ю-ЗАП")</f>
        <v>32 Ю-ЗАП</v>
      </c>
      <c r="AG427" t="str">
        <f ca="1">IFERROR(__xludf.DUMMYFUNCTION("""COMPUTED_VALUE"""),"34640 КОРОСТ-ПОДОЛ")</f>
        <v>34640 КОРОСТ-ПОДОЛ</v>
      </c>
      <c r="AH427" t="str">
        <f ca="1">IFERROR(__xludf.DUMMYFUNCTION("""COMPUTED_VALUE"""),"14.06.21 16-00")</f>
        <v>14.06.21 16-00</v>
      </c>
      <c r="AI427" s="21">
        <f ca="1">IFERROR(__xludf.DUMMYFUNCTION("""COMPUTED_VALUE"""),44420.3576851851)</f>
        <v>44420.357685185103</v>
      </c>
    </row>
    <row r="428" spans="1:35" ht="13" x14ac:dyDescent="0.15">
      <c r="A428">
        <f ca="1">IFERROR(__xludf.DUMMYFUNCTION("""COMPUTED_VALUE"""),1776)</f>
        <v>1776</v>
      </c>
      <c r="B428" t="str">
        <f ca="1">IFERROR(__xludf.DUMMYFUNCTION("""COMPUTED_VALUE"""),"Техрейс")</f>
        <v>Техрейс</v>
      </c>
      <c r="C428" t="str">
        <f ca="1">IFERROR(__xludf.DUMMYFUNCTION("""COMPUTED_VALUE"""),"ЕУ-Транс")</f>
        <v>ЕУ-Транс</v>
      </c>
      <c r="D428">
        <f ca="1">IFERROR(__xludf.DUMMYFUNCTION("""COMPUTED_VALUE"""),56626724)</f>
        <v>56626724</v>
      </c>
      <c r="E428" t="str">
        <f ca="1">IFERROR(__xludf.DUMMYFUNCTION("""COMPUTED_VALUE"""),"60 ПОЛУВАГОНЫ")</f>
        <v>60 ПОЛУВАГОНЫ</v>
      </c>
      <c r="F428">
        <f ca="1">IFERROR(__xludf.DUMMYFUNCTION("""COMPUTED_VALUE"""),24132)</f>
        <v>24132</v>
      </c>
      <c r="G428" t="str">
        <f ca="1">IFERROR(__xludf.DUMMYFUNCTION("""COMPUTED_VALUE"""),"КАМЕНЬ ГИПСОВ")</f>
        <v>КАМЕНЬ ГИПСОВ</v>
      </c>
      <c r="H428">
        <f ca="1">IFERROR(__xludf.DUMMYFUNCTION("""COMPUTED_VALUE"""),71)</f>
        <v>71</v>
      </c>
      <c r="I428">
        <f ca="1">IFERROR(__xludf.DUMMYFUNCTION("""COMPUTED_VALUE"""),6182)</f>
        <v>6182</v>
      </c>
      <c r="J428" t="str">
        <f ca="1">IFERROR(__xludf.DUMMYFUNCTION("""COMPUTED_VALUE"""),"2001 (45000-432-41000) НИЖНЕДН-УЗЕЛ - ЗНАМЕНКА")</f>
        <v>2001 (45000-432-41000) НИЖНЕДН-УЗЕЛ - ЗНАМЕНКА</v>
      </c>
      <c r="K428">
        <f ca="1">IFERROR(__xludf.DUMMYFUNCTION("""COMPUTED_VALUE"""),45000)</f>
        <v>45000</v>
      </c>
      <c r="L428" t="str">
        <f ca="1">IFERROR(__xludf.DUMMYFUNCTION("""COMPUTED_VALUE"""),"НИЖНЕДН-УЗЕЛ")</f>
        <v>НИЖНЕДН-УЗЕЛ</v>
      </c>
      <c r="M428" t="str">
        <f ca="1">IFERROR(__xludf.DUMMYFUNCTION("""COMPUTED_VALUE"""),"12.08.21 08-14")</f>
        <v>12.08.21 08-14</v>
      </c>
      <c r="N428" t="str">
        <f ca="1">IFERROR(__xludf.DUMMYFUNCTION("""COMPUTED_VALUE"""),"05 ФОРМ")</f>
        <v>05 ФОРМ</v>
      </c>
      <c r="O428">
        <f ca="1">IFERROR(__xludf.DUMMYFUNCTION("""COMPUTED_VALUE"""),41310)</f>
        <v>41310</v>
      </c>
      <c r="P428" t="str">
        <f ca="1">IFERROR(__xludf.DUMMYFUNCTION("""COMPUTED_VALUE"""),"АЛЕКСАНДР")</f>
        <v>АЛЕКСАНДР</v>
      </c>
      <c r="Q428">
        <f ca="1">IFERROR(__xludf.DUMMYFUNCTION("""COMPUTED_VALUE"""),49480)</f>
        <v>49480</v>
      </c>
      <c r="R428" t="str">
        <f ca="1">IFERROR(__xludf.DUMMYFUNCTION("""COMPUTED_VALUE"""),"СОЛЬ")</f>
        <v>СОЛЬ</v>
      </c>
      <c r="S428" t="str">
        <f ca="1">IFERROR(__xludf.DUMMYFUNCTION("""COMPUTED_VALUE"""),"10.08.21 17-40")</f>
        <v>10.08.21 17-40</v>
      </c>
      <c r="T428">
        <f ca="1">IFERROR(__xludf.DUMMYFUNCTION("""COMPUTED_VALUE"""),5377)</f>
        <v>5377</v>
      </c>
      <c r="U428" t="str">
        <f ca="1">IFERROR(__xludf.DUMMYFUNCTION("""COMPUTED_VALUE"""),"25.07.2024 ДР")</f>
        <v>25.07.2024 ДР</v>
      </c>
      <c r="Z428" t="str">
        <f ca="1">IFERROR(__xludf.DUMMYFUNCTION("""COMPUTED_VALUE"""),"ООО ""ЕУ-ТРАНС""")</f>
        <v>ООО "ЕУ-ТРАНС"</v>
      </c>
      <c r="AA428" t="str">
        <f ca="1">IFERROR(__xludf.DUMMYFUNCTION("""COMPUTED_VALUE"""),"12-141")</f>
        <v>12-141</v>
      </c>
      <c r="AB428" t="str">
        <f ca="1">IFERROR(__xludf.DUMMYFUNCTION("""COMPUTED_VALUE"""),"40 ОД")</f>
        <v>40 ОД</v>
      </c>
      <c r="AC428" t="str">
        <f ca="1">IFERROR(__xludf.DUMMYFUNCTION("""COMPUTED_VALUE"""),"41190 ПОМОШНАЯ")</f>
        <v>41190 ПОМОШНАЯ</v>
      </c>
      <c r="AD428" t="str">
        <f ca="1">IFERROR(__xludf.DUMMYFUNCTION("""COMPUTED_VALUE"""),"20.07.21 06-35")</f>
        <v>20.07.21 06-35</v>
      </c>
      <c r="AE428" t="str">
        <f ca="1">IFERROR(__xludf.DUMMYFUNCTION("""COMPUTED_VALUE"""),"571 ИCТEК КAЛЕНДАРНЫЙ CPOК КAПИТAЛЬНОГО PEМOНТA")</f>
        <v>571 ИCТEК КAЛЕНДАРНЫЙ CPOК КAПИТAЛЬНОГО PEМOНТA</v>
      </c>
      <c r="AF428" t="str">
        <f ca="1">IFERROR(__xludf.DUMMYFUNCTION("""COMPUTED_VALUE"""),"40 ОД")</f>
        <v>40 ОД</v>
      </c>
      <c r="AG428" t="str">
        <f ca="1">IFERROR(__xludf.DUMMYFUNCTION("""COMPUTED_VALUE"""),"41190 ПОМОШНАЯ")</f>
        <v>41190 ПОМОШНАЯ</v>
      </c>
      <c r="AH428" t="str">
        <f ca="1">IFERROR(__xludf.DUMMYFUNCTION("""COMPUTED_VALUE"""),"25.07.21 16-30")</f>
        <v>25.07.21 16-30</v>
      </c>
      <c r="AI428" s="21">
        <f ca="1">IFERROR(__xludf.DUMMYFUNCTION("""COMPUTED_VALUE"""),44420.3583449074)</f>
        <v>44420.358344907399</v>
      </c>
    </row>
    <row r="429" spans="1:35" ht="13" x14ac:dyDescent="0.15">
      <c r="A429">
        <f ca="1">IFERROR(__xludf.DUMMYFUNCTION("""COMPUTED_VALUE"""),1777)</f>
        <v>1777</v>
      </c>
      <c r="B429" t="str">
        <f ca="1">IFERROR(__xludf.DUMMYFUNCTION("""COMPUTED_VALUE"""),"Техрейс")</f>
        <v>Техрейс</v>
      </c>
      <c r="C429" t="str">
        <f ca="1">IFERROR(__xludf.DUMMYFUNCTION("""COMPUTED_VALUE"""),"ЕУ-Транс")</f>
        <v>ЕУ-Транс</v>
      </c>
      <c r="D429">
        <f ca="1">IFERROR(__xludf.DUMMYFUNCTION("""COMPUTED_VALUE"""),56626666)</f>
        <v>56626666</v>
      </c>
      <c r="E429" t="str">
        <f ca="1">IFERROR(__xludf.DUMMYFUNCTION("""COMPUTED_VALUE"""),"60 ПОЛУВАГОНЫ")</f>
        <v>60 ПОЛУВАГОНЫ</v>
      </c>
      <c r="F429">
        <f ca="1">IFERROR(__xludf.DUMMYFUNCTION("""COMPUTED_VALUE"""),43504)</f>
        <v>43504</v>
      </c>
      <c r="G429" t="str">
        <f ca="1">IFERROR(__xludf.DUMMYFUNCTION("""COMPUTED_VALUE"""),"СУПЕРФОСФАТ ДВ")</f>
        <v>СУПЕРФОСФАТ ДВ</v>
      </c>
      <c r="H429">
        <f ca="1">IFERROR(__xludf.DUMMYFUNCTION("""COMPUTED_VALUE"""),68)</f>
        <v>68</v>
      </c>
      <c r="I429">
        <f ca="1">IFERROR(__xludf.DUMMYFUNCTION("""COMPUTED_VALUE"""),5043)</f>
        <v>5043</v>
      </c>
      <c r="J429" t="str">
        <f ca="1">IFERROR(__xludf.DUMMYFUNCTION("""COMPUTED_VALUE"""),"3825 (40000-345-40200) ОДЕССА-СОРТ - ЧЕРНОМОРСК-П")</f>
        <v>3825 (40000-345-40200) ОДЕССА-СОРТ - ЧЕРНОМОРСК-П</v>
      </c>
      <c r="K429">
        <f ca="1">IFERROR(__xludf.DUMMYFUNCTION("""COMPUTED_VALUE"""),40200)</f>
        <v>40200</v>
      </c>
      <c r="L429" t="str">
        <f ca="1">IFERROR(__xludf.DUMMYFUNCTION("""COMPUTED_VALUE"""),"ЧЕРНОМОРСК-П")</f>
        <v>ЧЕРНОМОРСК-П</v>
      </c>
      <c r="M429" t="str">
        <f ca="1">IFERROR(__xludf.DUMMYFUNCTION("""COMPUTED_VALUE"""),"11.08.21 19-00")</f>
        <v>11.08.21 19-00</v>
      </c>
      <c r="N429" t="str">
        <f ca="1">IFERROR(__xludf.DUMMYFUNCTION("""COMPUTED_VALUE"""),"91 ПРДР")</f>
        <v>91 ПРДР</v>
      </c>
      <c r="O429">
        <f ca="1">IFERROR(__xludf.DUMMYFUNCTION("""COMPUTED_VALUE"""),49460)</f>
        <v>49460</v>
      </c>
      <c r="P429" t="str">
        <f ca="1">IFERROR(__xludf.DUMMYFUNCTION("""COMPUTED_VALUE"""),"БАХМУТ")</f>
        <v>БАХМУТ</v>
      </c>
      <c r="Q429">
        <f ca="1">IFERROR(__xludf.DUMMYFUNCTION("""COMPUTED_VALUE"""),40210)</f>
        <v>40210</v>
      </c>
      <c r="R429" t="str">
        <f ca="1">IFERROR(__xludf.DUMMYFUNCTION("""COMPUTED_VALUE"""),"ЧЕРНО-ПОРТ-Э")</f>
        <v>ЧЕРНО-ПОРТ-Э</v>
      </c>
      <c r="S429" t="str">
        <f ca="1">IFERROR(__xludf.DUMMYFUNCTION("""COMPUTED_VALUE"""),"11.08.21 18-20")</f>
        <v>11.08.21 18-20</v>
      </c>
      <c r="T429">
        <f ca="1">IFERROR(__xludf.DUMMYFUNCTION("""COMPUTED_VALUE"""),4307)</f>
        <v>4307</v>
      </c>
      <c r="U429" t="str">
        <f ca="1">IFERROR(__xludf.DUMMYFUNCTION("""COMPUTED_VALUE"""),"06.06.2024 ТР-1")</f>
        <v>06.06.2024 ТР-1</v>
      </c>
      <c r="Z429" t="str">
        <f ca="1">IFERROR(__xludf.DUMMYFUNCTION("""COMPUTED_VALUE"""),"ООО ""ЕУ-ТРАНС""")</f>
        <v>ООО "ЕУ-ТРАНС"</v>
      </c>
      <c r="AA429" t="str">
        <f ca="1">IFERROR(__xludf.DUMMYFUNCTION("""COMPUTED_VALUE"""),"12-119")</f>
        <v>12-119</v>
      </c>
      <c r="AB429" t="str">
        <f ca="1">IFERROR(__xludf.DUMMYFUNCTION("""COMPUTED_VALUE"""),"40 ОД")</f>
        <v>40 ОД</v>
      </c>
      <c r="AC429" t="str">
        <f ca="1">IFERROR(__xludf.DUMMYFUNCTION("""COMPUTED_VALUE"""),"41190 ПОМОШНАЯ")</f>
        <v>41190 ПОМОШНАЯ</v>
      </c>
      <c r="AD429" t="str">
        <f ca="1">IFERROR(__xludf.DUMMYFUNCTION("""COMPUTED_VALUE"""),"05.06.21 08-00")</f>
        <v>05.06.21 08-00</v>
      </c>
      <c r="AE429" t="str">
        <f ca="1">IFERROR(__xludf.DUMMYFUNCTION("""COMPUTED_VALUE"""),"570 ИCТEК КAЛЕНДАРНЫЙ CPOК ДEПOВCКОГО PEМOНТA")</f>
        <v>570 ИCТEК КAЛЕНДАРНЫЙ CPOК ДEПOВCКОГО PEМOНТA</v>
      </c>
      <c r="AF429" t="str">
        <f ca="1">IFERROR(__xludf.DUMMYFUNCTION("""COMPUTED_VALUE"""),"40 ОД")</f>
        <v>40 ОД</v>
      </c>
      <c r="AG429" t="str">
        <f ca="1">IFERROR(__xludf.DUMMYFUNCTION("""COMPUTED_VALUE"""),"41190 ПОМОШНАЯ")</f>
        <v>41190 ПОМОШНАЯ</v>
      </c>
      <c r="AH429" t="str">
        <f ca="1">IFERROR(__xludf.DUMMYFUNCTION("""COMPUTED_VALUE"""),"30.07.21 14-15")</f>
        <v>30.07.21 14-15</v>
      </c>
      <c r="AI429" s="21">
        <f ca="1">IFERROR(__xludf.DUMMYFUNCTION("""COMPUTED_VALUE"""),44420.3583449074)</f>
        <v>44420.358344907399</v>
      </c>
    </row>
    <row r="430" spans="1:35" ht="13" x14ac:dyDescent="0.15">
      <c r="A430">
        <f ca="1">IFERROR(__xludf.DUMMYFUNCTION("""COMPUTED_VALUE"""),1778)</f>
        <v>1778</v>
      </c>
      <c r="B430" t="str">
        <f ca="1">IFERROR(__xludf.DUMMYFUNCTION("""COMPUTED_VALUE"""),"Чужие")</f>
        <v>Чужие</v>
      </c>
      <c r="C430" t="str">
        <f ca="1">IFERROR(__xludf.DUMMYFUNCTION("""COMPUTED_VALUE"""),"Стиль")</f>
        <v>Стиль</v>
      </c>
      <c r="D430">
        <f ca="1">IFERROR(__xludf.DUMMYFUNCTION("""COMPUTED_VALUE"""),56326259)</f>
        <v>56326259</v>
      </c>
      <c r="E430" t="str">
        <f ca="1">IFERROR(__xludf.DUMMYFUNCTION("""COMPUTED_VALUE"""),"60 ПОЛУВАГОНЫ")</f>
        <v>60 ПОЛУВАГОНЫ</v>
      </c>
      <c r="F430">
        <f ca="1">IFERROR(__xludf.DUMMYFUNCTION("""COMPUTED_VALUE"""),24132)</f>
        <v>24132</v>
      </c>
      <c r="G430" t="str">
        <f ca="1">IFERROR(__xludf.DUMMYFUNCTION("""COMPUTED_VALUE"""),"КАМЕНЬ ГИПСОВ")</f>
        <v>КАМЕНЬ ГИПСОВ</v>
      </c>
      <c r="H430">
        <f ca="1">IFERROR(__xludf.DUMMYFUNCTION("""COMPUTED_VALUE"""),70)</f>
        <v>70</v>
      </c>
      <c r="I430">
        <f ca="1">IFERROR(__xludf.DUMMYFUNCTION("""COMPUTED_VALUE"""),8249)</f>
        <v>8249</v>
      </c>
      <c r="J430" t="str">
        <f ca="1">IFERROR(__xludf.DUMMYFUNCTION("""COMPUTED_VALUE"""),"2820 (49000-237-44000) ЛИМАН - ХАРЬКОВ-СОРТ")</f>
        <v>2820 (49000-237-44000) ЛИМАН - ХАРЬКОВ-СОРТ</v>
      </c>
      <c r="K430">
        <f ca="1">IFERROR(__xludf.DUMMYFUNCTION("""COMPUTED_VALUE"""),44000)</f>
        <v>44000</v>
      </c>
      <c r="L430" t="str">
        <f ca="1">IFERROR(__xludf.DUMMYFUNCTION("""COMPUTED_VALUE"""),"ХАРЬКОВ-СОРТ")</f>
        <v>ХАРЬКОВ-СОРТ</v>
      </c>
      <c r="M430" t="str">
        <f ca="1">IFERROR(__xludf.DUMMYFUNCTION("""COMPUTED_VALUE"""),"11.08.21 17-33")</f>
        <v>11.08.21 17-33</v>
      </c>
      <c r="N430" t="str">
        <f ca="1">IFERROR(__xludf.DUMMYFUNCTION("""COMPUTED_VALUE"""),"04 РАСФ")</f>
        <v>04 РАСФ</v>
      </c>
      <c r="O430">
        <f ca="1">IFERROR(__xludf.DUMMYFUNCTION("""COMPUTED_VALUE"""),32280)</f>
        <v>32280</v>
      </c>
      <c r="P430" t="str">
        <f ca="1">IFERROR(__xludf.DUMMYFUNCTION("""COMPUTED_VALUE"""),"БЕРЕЗАНЬ")</f>
        <v>БЕРЕЗАНЬ</v>
      </c>
      <c r="Q430">
        <f ca="1">IFERROR(__xludf.DUMMYFUNCTION("""COMPUTED_VALUE"""),49480)</f>
        <v>49480</v>
      </c>
      <c r="R430" t="str">
        <f ca="1">IFERROR(__xludf.DUMMYFUNCTION("""COMPUTED_VALUE"""),"СОЛЬ")</f>
        <v>СОЛЬ</v>
      </c>
      <c r="S430" t="str">
        <f ca="1">IFERROR(__xludf.DUMMYFUNCTION("""COMPUTED_VALUE"""),"10.08.21 02-25")</f>
        <v>10.08.21 02-25</v>
      </c>
      <c r="T430">
        <f ca="1">IFERROR(__xludf.DUMMYFUNCTION("""COMPUTED_VALUE"""),5377)</f>
        <v>5377</v>
      </c>
      <c r="U430" t="str">
        <f ca="1">IFERROR(__xludf.DUMMYFUNCTION("""COMPUTED_VALUE"""),"27.06.2023 ДР")</f>
        <v>27.06.2023 ДР</v>
      </c>
      <c r="Z430" t="str">
        <f ca="1">IFERROR(__xludf.DUMMYFUNCTION("""COMPUTED_VALUE"""),"ООО «ДОНУРЛОГИСТИК»")</f>
        <v>ООО «ДОНУРЛОГИСТИК»</v>
      </c>
      <c r="AA430" t="str">
        <f ca="1">IFERROR(__xludf.DUMMYFUNCTION("""COMPUTED_VALUE"""),"12-132")</f>
        <v>12-132</v>
      </c>
      <c r="AB430" t="str">
        <f ca="1">IFERROR(__xludf.DUMMYFUNCTION("""COMPUTED_VALUE"""),"35 ЛЬВ")</f>
        <v>35 ЛЬВ</v>
      </c>
      <c r="AC430" t="str">
        <f ca="1">IFERROR(__xludf.DUMMYFUNCTION("""COMPUTED_VALUE"""),"35250 ИЗОВ")</f>
        <v>35250 ИЗОВ</v>
      </c>
      <c r="AD430" t="str">
        <f ca="1">IFERROR(__xludf.DUMMYFUNCTION("""COMPUTED_VALUE"""),"03.05.21 22-36")</f>
        <v>03.05.21 22-36</v>
      </c>
      <c r="AE430" t="str">
        <f ca="1">IFERROR(__xludf.DUMMYFUNCTION("""COMPUTED_VALUE"""),"109 OCТPOКOНEЧНЫЙ НAКAТ ГPEБНЯ")</f>
        <v>109 OCТPOКOНEЧНЫЙ НAКAТ ГPEБНЯ</v>
      </c>
      <c r="AF430" t="str">
        <f ca="1">IFERROR(__xludf.DUMMYFUNCTION("""COMPUTED_VALUE"""),"35 ЛЬВ")</f>
        <v>35 ЛЬВ</v>
      </c>
      <c r="AG430" t="str">
        <f ca="1">IFERROR(__xludf.DUMMYFUNCTION("""COMPUTED_VALUE"""),"35250 ИЗОВ")</f>
        <v>35250 ИЗОВ</v>
      </c>
      <c r="AH430" t="str">
        <f ca="1">IFERROR(__xludf.DUMMYFUNCTION("""COMPUTED_VALUE"""),"10.05.21 17-40")</f>
        <v>10.05.21 17-40</v>
      </c>
      <c r="AI430" s="21">
        <f ca="1">IFERROR(__xludf.DUMMYFUNCTION("""COMPUTED_VALUE"""),44420.3583449074)</f>
        <v>44420.358344907399</v>
      </c>
    </row>
    <row r="431" spans="1:35" ht="13" x14ac:dyDescent="0.15">
      <c r="A431">
        <f ca="1">IFERROR(__xludf.DUMMYFUNCTION("""COMPUTED_VALUE"""),1779)</f>
        <v>1779</v>
      </c>
      <c r="B431" t="str">
        <f ca="1">IFERROR(__xludf.DUMMYFUNCTION("""COMPUTED_VALUE"""),"Чужие")</f>
        <v>Чужие</v>
      </c>
      <c r="C431" t="str">
        <f ca="1">IFERROR(__xludf.DUMMYFUNCTION("""COMPUTED_VALUE"""),"Стиль")</f>
        <v>Стиль</v>
      </c>
      <c r="D431">
        <f ca="1">IFERROR(__xludf.DUMMYFUNCTION("""COMPUTED_VALUE"""),56328321)</f>
        <v>56328321</v>
      </c>
      <c r="E431" t="str">
        <f ca="1">IFERROR(__xludf.DUMMYFUNCTION("""COMPUTED_VALUE"""),"60 ПОЛУВАГОНЫ")</f>
        <v>60 ПОЛУВАГОНЫ</v>
      </c>
      <c r="F431">
        <f ca="1">IFERROR(__xludf.DUMMYFUNCTION("""COMPUTED_VALUE"""),24132)</f>
        <v>24132</v>
      </c>
      <c r="G431" t="str">
        <f ca="1">IFERROR(__xludf.DUMMYFUNCTION("""COMPUTED_VALUE"""),"КАМЕНЬ ГИПСОВ")</f>
        <v>КАМЕНЬ ГИПСОВ</v>
      </c>
      <c r="H431">
        <f ca="1">IFERROR(__xludf.DUMMYFUNCTION("""COMPUTED_VALUE"""),70)</f>
        <v>70</v>
      </c>
      <c r="I431">
        <f ca="1">IFERROR(__xludf.DUMMYFUNCTION("""COMPUTED_VALUE"""),8249)</f>
        <v>8249</v>
      </c>
      <c r="J431" t="str">
        <f ca="1">IFERROR(__xludf.DUMMYFUNCTION("""COMPUTED_VALUE"""),"2820 (49000-237-44000) ЛИМАН - ХАРЬКОВ-СОРТ")</f>
        <v>2820 (49000-237-44000) ЛИМАН - ХАРЬКОВ-СОРТ</v>
      </c>
      <c r="K431">
        <f ca="1">IFERROR(__xludf.DUMMYFUNCTION("""COMPUTED_VALUE"""),44000)</f>
        <v>44000</v>
      </c>
      <c r="L431" t="str">
        <f ca="1">IFERROR(__xludf.DUMMYFUNCTION("""COMPUTED_VALUE"""),"ХАРЬКОВ-СОРТ")</f>
        <v>ХАРЬКОВ-СОРТ</v>
      </c>
      <c r="M431" t="str">
        <f ca="1">IFERROR(__xludf.DUMMYFUNCTION("""COMPUTED_VALUE"""),"11.08.21 17-33")</f>
        <v>11.08.21 17-33</v>
      </c>
      <c r="N431" t="str">
        <f ca="1">IFERROR(__xludf.DUMMYFUNCTION("""COMPUTED_VALUE"""),"04 РАСФ")</f>
        <v>04 РАСФ</v>
      </c>
      <c r="O431">
        <f ca="1">IFERROR(__xludf.DUMMYFUNCTION("""COMPUTED_VALUE"""),32280)</f>
        <v>32280</v>
      </c>
      <c r="P431" t="str">
        <f ca="1">IFERROR(__xludf.DUMMYFUNCTION("""COMPUTED_VALUE"""),"БЕРЕЗАНЬ")</f>
        <v>БЕРЕЗАНЬ</v>
      </c>
      <c r="Q431">
        <f ca="1">IFERROR(__xludf.DUMMYFUNCTION("""COMPUTED_VALUE"""),49480)</f>
        <v>49480</v>
      </c>
      <c r="R431" t="str">
        <f ca="1">IFERROR(__xludf.DUMMYFUNCTION("""COMPUTED_VALUE"""),"СОЛЬ")</f>
        <v>СОЛЬ</v>
      </c>
      <c r="S431" t="str">
        <f ca="1">IFERROR(__xludf.DUMMYFUNCTION("""COMPUTED_VALUE"""),"10.08.21 02-25")</f>
        <v>10.08.21 02-25</v>
      </c>
      <c r="T431">
        <f ca="1">IFERROR(__xludf.DUMMYFUNCTION("""COMPUTED_VALUE"""),5377)</f>
        <v>5377</v>
      </c>
      <c r="U431" t="str">
        <f ca="1">IFERROR(__xludf.DUMMYFUNCTION("""COMPUTED_VALUE"""),"13.09.2023 ДР")</f>
        <v>13.09.2023 ДР</v>
      </c>
      <c r="Z431" t="str">
        <f ca="1">IFERROR(__xludf.DUMMYFUNCTION("""COMPUTED_VALUE"""),"ООО «ДОНУРЛОГИСТИК»")</f>
        <v>ООО «ДОНУРЛОГИСТИК»</v>
      </c>
      <c r="AA431" t="str">
        <f ca="1">IFERROR(__xludf.DUMMYFUNCTION("""COMPUTED_VALUE"""),"12-132")</f>
        <v>12-132</v>
      </c>
      <c r="AB431" t="str">
        <f ca="1">IFERROR(__xludf.DUMMYFUNCTION("""COMPUTED_VALUE"""),"35 ЛЬВ")</f>
        <v>35 ЛЬВ</v>
      </c>
      <c r="AC431" t="str">
        <f ca="1">IFERROR(__xludf.DUMMYFUNCTION("""COMPUTED_VALUE"""),"35250 ИЗОВ")</f>
        <v>35250 ИЗОВ</v>
      </c>
      <c r="AD431" t="str">
        <f ca="1">IFERROR(__xludf.DUMMYFUNCTION("""COMPUTED_VALUE"""),"07.04.21 14-00")</f>
        <v>07.04.21 14-00</v>
      </c>
      <c r="AE431" t="str">
        <f ca="1">IFERROR(__xludf.DUMMYFUNCTION("""COMPUTED_VALUE"""),"109 OCТPOКOНEЧНЫЙ НAКAТ ГPEБНЯ")</f>
        <v>109 OCТPOКOНEЧНЫЙ НAКAТ ГPEБНЯ</v>
      </c>
      <c r="AF431" t="str">
        <f ca="1">IFERROR(__xludf.DUMMYFUNCTION("""COMPUTED_VALUE"""),"35 ЛЬВ")</f>
        <v>35 ЛЬВ</v>
      </c>
      <c r="AG431" t="str">
        <f ca="1">IFERROR(__xludf.DUMMYFUNCTION("""COMPUTED_VALUE"""),"35250 ИЗОВ")</f>
        <v>35250 ИЗОВ</v>
      </c>
      <c r="AH431" t="str">
        <f ca="1">IFERROR(__xludf.DUMMYFUNCTION("""COMPUTED_VALUE"""),"07.04.21 19-00")</f>
        <v>07.04.21 19-00</v>
      </c>
      <c r="AI431" s="21">
        <f ca="1">IFERROR(__xludf.DUMMYFUNCTION("""COMPUTED_VALUE"""),44420.3583449074)</f>
        <v>44420.358344907399</v>
      </c>
    </row>
    <row r="432" spans="1:35" ht="13" x14ac:dyDescent="0.15">
      <c r="A432">
        <f ca="1">IFERROR(__xludf.DUMMYFUNCTION("""COMPUTED_VALUE"""),1780)</f>
        <v>1780</v>
      </c>
      <c r="B432" t="str">
        <f ca="1">IFERROR(__xludf.DUMMYFUNCTION("""COMPUTED_VALUE"""),"Чужие")</f>
        <v>Чужие</v>
      </c>
      <c r="C432" t="str">
        <f ca="1">IFERROR(__xludf.DUMMYFUNCTION("""COMPUTED_VALUE"""),"Стиль")</f>
        <v>Стиль</v>
      </c>
      <c r="D432">
        <f ca="1">IFERROR(__xludf.DUMMYFUNCTION("""COMPUTED_VALUE"""),52226511)</f>
        <v>52226511</v>
      </c>
      <c r="E432" t="str">
        <f ca="1">IFERROR(__xludf.DUMMYFUNCTION("""COMPUTED_VALUE"""),"60 ПОЛУВАГОНЫ")</f>
        <v>60 ПОЛУВАГОНЫ</v>
      </c>
      <c r="F432">
        <f ca="1">IFERROR(__xludf.DUMMYFUNCTION("""COMPUTED_VALUE"""),24132)</f>
        <v>24132</v>
      </c>
      <c r="G432" t="str">
        <f ca="1">IFERROR(__xludf.DUMMYFUNCTION("""COMPUTED_VALUE"""),"КАМЕНЬ ГИПСОВ")</f>
        <v>КАМЕНЬ ГИПСОВ</v>
      </c>
      <c r="H432">
        <f ca="1">IFERROR(__xludf.DUMMYFUNCTION("""COMPUTED_VALUE"""),70)</f>
        <v>70</v>
      </c>
      <c r="I432">
        <f ca="1">IFERROR(__xludf.DUMMYFUNCTION("""COMPUTED_VALUE"""),8249)</f>
        <v>8249</v>
      </c>
      <c r="J432" t="str">
        <f ca="1">IFERROR(__xludf.DUMMYFUNCTION("""COMPUTED_VALUE"""),"2820 (49000-237-44000) ЛИМАН - ХАРЬКОВ-СОРТ")</f>
        <v>2820 (49000-237-44000) ЛИМАН - ХАРЬКОВ-СОРТ</v>
      </c>
      <c r="K432">
        <f ca="1">IFERROR(__xludf.DUMMYFUNCTION("""COMPUTED_VALUE"""),44000)</f>
        <v>44000</v>
      </c>
      <c r="L432" t="str">
        <f ca="1">IFERROR(__xludf.DUMMYFUNCTION("""COMPUTED_VALUE"""),"ХАРЬКОВ-СОРТ")</f>
        <v>ХАРЬКОВ-СОРТ</v>
      </c>
      <c r="M432" t="str">
        <f ca="1">IFERROR(__xludf.DUMMYFUNCTION("""COMPUTED_VALUE"""),"11.08.21 17-33")</f>
        <v>11.08.21 17-33</v>
      </c>
      <c r="N432" t="str">
        <f ca="1">IFERROR(__xludf.DUMMYFUNCTION("""COMPUTED_VALUE"""),"04 РАСФ")</f>
        <v>04 РАСФ</v>
      </c>
      <c r="O432">
        <f ca="1">IFERROR(__xludf.DUMMYFUNCTION("""COMPUTED_VALUE"""),32280)</f>
        <v>32280</v>
      </c>
      <c r="P432" t="str">
        <f ca="1">IFERROR(__xludf.DUMMYFUNCTION("""COMPUTED_VALUE"""),"БЕРЕЗАНЬ")</f>
        <v>БЕРЕЗАНЬ</v>
      </c>
      <c r="Q432">
        <f ca="1">IFERROR(__xludf.DUMMYFUNCTION("""COMPUTED_VALUE"""),49480)</f>
        <v>49480</v>
      </c>
      <c r="R432" t="str">
        <f ca="1">IFERROR(__xludf.DUMMYFUNCTION("""COMPUTED_VALUE"""),"СОЛЬ")</f>
        <v>СОЛЬ</v>
      </c>
      <c r="S432" t="str">
        <f ca="1">IFERROR(__xludf.DUMMYFUNCTION("""COMPUTED_VALUE"""),"10.08.21 02-25")</f>
        <v>10.08.21 02-25</v>
      </c>
      <c r="T432">
        <f ca="1">IFERROR(__xludf.DUMMYFUNCTION("""COMPUTED_VALUE"""),5377)</f>
        <v>5377</v>
      </c>
      <c r="U432" t="str">
        <f ca="1">IFERROR(__xludf.DUMMYFUNCTION("""COMPUTED_VALUE"""),"21.05.2024 ДР")</f>
        <v>21.05.2024 ДР</v>
      </c>
      <c r="Z432" t="str">
        <f ca="1">IFERROR(__xludf.DUMMYFUNCTION("""COMPUTED_VALUE"""),"ООО «ДОНУРЛОГИСТИК»")</f>
        <v>ООО «ДОНУРЛОГИСТИК»</v>
      </c>
      <c r="AA432" t="str">
        <f ca="1">IFERROR(__xludf.DUMMYFUNCTION("""COMPUTED_VALUE"""),"12-132")</f>
        <v>12-132</v>
      </c>
      <c r="AB432" t="str">
        <f ca="1">IFERROR(__xludf.DUMMYFUNCTION("""COMPUTED_VALUE"""),"43 ЮЖН")</f>
        <v>43 ЮЖН</v>
      </c>
      <c r="AC432" t="str">
        <f ca="1">IFERROR(__xludf.DUMMYFUNCTION("""COMPUTED_VALUE"""),"44040 ХАРЬКОВ-ПАСС")</f>
        <v>44040 ХАРЬКОВ-ПАСС</v>
      </c>
      <c r="AD432" t="str">
        <f ca="1">IFERROR(__xludf.DUMMYFUNCTION("""COMPUTED_VALUE"""),"20.05.21 13-14")</f>
        <v>20.05.21 13-14</v>
      </c>
      <c r="AE432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2" t="str">
        <f ca="1">IFERROR(__xludf.DUMMYFUNCTION("""COMPUTED_VALUE"""),"43 ЮЖН")</f>
        <v>43 ЮЖН</v>
      </c>
      <c r="AG432" t="str">
        <f ca="1">IFERROR(__xludf.DUMMYFUNCTION("""COMPUTED_VALUE"""),"44040 ХАРЬКОВ-ПАСС")</f>
        <v>44040 ХАРЬКОВ-ПАСС</v>
      </c>
      <c r="AH432" t="str">
        <f ca="1">IFERROR(__xludf.DUMMYFUNCTION("""COMPUTED_VALUE"""),"21.05.21 15-01")</f>
        <v>21.05.21 15-01</v>
      </c>
      <c r="AI432" s="21">
        <f ca="1">IFERROR(__xludf.DUMMYFUNCTION("""COMPUTED_VALUE"""),44420.3583449074)</f>
        <v>44420.358344907399</v>
      </c>
    </row>
    <row r="433" spans="1:35" ht="13" x14ac:dyDescent="0.15">
      <c r="A433">
        <f ca="1">IFERROR(__xludf.DUMMYFUNCTION("""COMPUTED_VALUE"""),1781)</f>
        <v>1781</v>
      </c>
      <c r="B433" t="str">
        <f ca="1">IFERROR(__xludf.DUMMYFUNCTION("""COMPUTED_VALUE"""),"Чужие")</f>
        <v>Чужие</v>
      </c>
      <c r="C433" t="str">
        <f ca="1">IFERROR(__xludf.DUMMYFUNCTION("""COMPUTED_VALUE"""),"Стиль")</f>
        <v>Стиль</v>
      </c>
      <c r="D433">
        <f ca="1">IFERROR(__xludf.DUMMYFUNCTION("""COMPUTED_VALUE"""),52227444)</f>
        <v>52227444</v>
      </c>
      <c r="E433" t="str">
        <f ca="1">IFERROR(__xludf.DUMMYFUNCTION("""COMPUTED_VALUE"""),"60 ПОЛУВАГОНЫ")</f>
        <v>60 ПОЛУВАГОНЫ</v>
      </c>
      <c r="F433">
        <f ca="1">IFERROR(__xludf.DUMMYFUNCTION("""COMPUTED_VALUE"""),24132)</f>
        <v>24132</v>
      </c>
      <c r="G433" t="str">
        <f ca="1">IFERROR(__xludf.DUMMYFUNCTION("""COMPUTED_VALUE"""),"КАМЕНЬ ГИПСОВ")</f>
        <v>КАМЕНЬ ГИПСОВ</v>
      </c>
      <c r="H433">
        <f ca="1">IFERROR(__xludf.DUMMYFUNCTION("""COMPUTED_VALUE"""),70)</f>
        <v>70</v>
      </c>
      <c r="I433">
        <f ca="1">IFERROR(__xludf.DUMMYFUNCTION("""COMPUTED_VALUE"""),8249)</f>
        <v>8249</v>
      </c>
      <c r="J433" t="str">
        <f ca="1">IFERROR(__xludf.DUMMYFUNCTION("""COMPUTED_VALUE"""),"2820 (49000-237-44000) ЛИМАН - ХАРЬКОВ-СОРТ")</f>
        <v>2820 (49000-237-44000) ЛИМАН - ХАРЬКОВ-СОРТ</v>
      </c>
      <c r="K433">
        <f ca="1">IFERROR(__xludf.DUMMYFUNCTION("""COMPUTED_VALUE"""),44000)</f>
        <v>44000</v>
      </c>
      <c r="L433" t="str">
        <f ca="1">IFERROR(__xludf.DUMMYFUNCTION("""COMPUTED_VALUE"""),"ХАРЬКОВ-СОРТ")</f>
        <v>ХАРЬКОВ-СОРТ</v>
      </c>
      <c r="M433" t="str">
        <f ca="1">IFERROR(__xludf.DUMMYFUNCTION("""COMPUTED_VALUE"""),"11.08.21 17-33")</f>
        <v>11.08.21 17-33</v>
      </c>
      <c r="N433" t="str">
        <f ca="1">IFERROR(__xludf.DUMMYFUNCTION("""COMPUTED_VALUE"""),"04 РАСФ")</f>
        <v>04 РАСФ</v>
      </c>
      <c r="O433">
        <f ca="1">IFERROR(__xludf.DUMMYFUNCTION("""COMPUTED_VALUE"""),32280)</f>
        <v>32280</v>
      </c>
      <c r="P433" t="str">
        <f ca="1">IFERROR(__xludf.DUMMYFUNCTION("""COMPUTED_VALUE"""),"БЕРЕЗАНЬ")</f>
        <v>БЕРЕЗАНЬ</v>
      </c>
      <c r="Q433">
        <f ca="1">IFERROR(__xludf.DUMMYFUNCTION("""COMPUTED_VALUE"""),49480)</f>
        <v>49480</v>
      </c>
      <c r="R433" t="str">
        <f ca="1">IFERROR(__xludf.DUMMYFUNCTION("""COMPUTED_VALUE"""),"СОЛЬ")</f>
        <v>СОЛЬ</v>
      </c>
      <c r="S433" t="str">
        <f ca="1">IFERROR(__xludf.DUMMYFUNCTION("""COMPUTED_VALUE"""),"10.08.21 02-25")</f>
        <v>10.08.21 02-25</v>
      </c>
      <c r="T433">
        <f ca="1">IFERROR(__xludf.DUMMYFUNCTION("""COMPUTED_VALUE"""),5377)</f>
        <v>5377</v>
      </c>
      <c r="U433" t="str">
        <f ca="1">IFERROR(__xludf.DUMMYFUNCTION("""COMPUTED_VALUE"""),"21.05.2024 ДР")</f>
        <v>21.05.2024 ДР</v>
      </c>
      <c r="Z433" t="str">
        <f ca="1">IFERROR(__xludf.DUMMYFUNCTION("""COMPUTED_VALUE"""),"ООО «ДОНУРЛОГИСТИК»")</f>
        <v>ООО «ДОНУРЛОГИСТИК»</v>
      </c>
      <c r="AA433" t="str">
        <f ca="1">IFERROR(__xludf.DUMMYFUNCTION("""COMPUTED_VALUE"""),"12-132")</f>
        <v>12-132</v>
      </c>
      <c r="AB433" t="str">
        <f ca="1">IFERROR(__xludf.DUMMYFUNCTION("""COMPUTED_VALUE"""),"43 ЮЖН")</f>
        <v>43 ЮЖН</v>
      </c>
      <c r="AC433" t="str">
        <f ca="1">IFERROR(__xludf.DUMMYFUNCTION("""COMPUTED_VALUE"""),"44040 ХАРЬКОВ-ПАСС")</f>
        <v>44040 ХАРЬКОВ-ПАСС</v>
      </c>
      <c r="AD433" t="str">
        <f ca="1">IFERROR(__xludf.DUMMYFUNCTION("""COMPUTED_VALUE"""),"07.05.21 17-40")</f>
        <v>07.05.21 17-40</v>
      </c>
      <c r="AE433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3" t="str">
        <f ca="1">IFERROR(__xludf.DUMMYFUNCTION("""COMPUTED_VALUE"""),"43 ЮЖН")</f>
        <v>43 ЮЖН</v>
      </c>
      <c r="AG433" t="str">
        <f ca="1">IFERROR(__xludf.DUMMYFUNCTION("""COMPUTED_VALUE"""),"44040 ХАРЬКОВ-ПАСС")</f>
        <v>44040 ХАРЬКОВ-ПАСС</v>
      </c>
      <c r="AH433" t="str">
        <f ca="1">IFERROR(__xludf.DUMMYFUNCTION("""COMPUTED_VALUE"""),"21.05.21 15-21")</f>
        <v>21.05.21 15-21</v>
      </c>
      <c r="AI433" s="21">
        <f ca="1">IFERROR(__xludf.DUMMYFUNCTION("""COMPUTED_VALUE"""),44420.3583449074)</f>
        <v>44420.358344907399</v>
      </c>
    </row>
    <row r="434" spans="1:35" ht="13" x14ac:dyDescent="0.15">
      <c r="A434">
        <f ca="1">IFERROR(__xludf.DUMMYFUNCTION("""COMPUTED_VALUE"""),1782)</f>
        <v>1782</v>
      </c>
      <c r="B434" t="str">
        <f ca="1">IFERROR(__xludf.DUMMYFUNCTION("""COMPUTED_VALUE"""),"Чужие")</f>
        <v>Чужие</v>
      </c>
      <c r="C434" t="str">
        <f ca="1">IFERROR(__xludf.DUMMYFUNCTION("""COMPUTED_VALUE"""),"Стиль")</f>
        <v>Стиль</v>
      </c>
      <c r="D434">
        <f ca="1">IFERROR(__xludf.DUMMYFUNCTION("""COMPUTED_VALUE"""),52226933)</f>
        <v>52226933</v>
      </c>
      <c r="E434" t="str">
        <f ca="1">IFERROR(__xludf.DUMMYFUNCTION("""COMPUTED_VALUE"""),"60 ПОЛУВАГОНЫ")</f>
        <v>60 ПОЛУВАГОНЫ</v>
      </c>
      <c r="F434">
        <f ca="1">IFERROR(__xludf.DUMMYFUNCTION("""COMPUTED_VALUE"""),24132)</f>
        <v>24132</v>
      </c>
      <c r="G434" t="str">
        <f ca="1">IFERROR(__xludf.DUMMYFUNCTION("""COMPUTED_VALUE"""),"КАМЕНЬ ГИПСОВ")</f>
        <v>КАМЕНЬ ГИПСОВ</v>
      </c>
      <c r="H434">
        <f ca="1">IFERROR(__xludf.DUMMYFUNCTION("""COMPUTED_VALUE"""),70)</f>
        <v>70</v>
      </c>
      <c r="I434">
        <f ca="1">IFERROR(__xludf.DUMMYFUNCTION("""COMPUTED_VALUE"""),8249)</f>
        <v>8249</v>
      </c>
      <c r="J434" t="str">
        <f ca="1">IFERROR(__xludf.DUMMYFUNCTION("""COMPUTED_VALUE"""),"3401 (44870-191-42830) ПОЛТАВА-ЮЖН - ГРЕБЕНКА")</f>
        <v>3401 (44870-191-42830) ПОЛТАВА-ЮЖН - ГРЕБЕНКА</v>
      </c>
      <c r="K434">
        <f ca="1">IFERROR(__xludf.DUMMYFUNCTION("""COMPUTED_VALUE"""),44870)</f>
        <v>44870</v>
      </c>
      <c r="L434" t="str">
        <f ca="1">IFERROR(__xludf.DUMMYFUNCTION("""COMPUTED_VALUE"""),"ПОЛТАВА-ЮЖН")</f>
        <v>ПОЛТАВА-ЮЖН</v>
      </c>
      <c r="M434" t="str">
        <f ca="1">IFERROR(__xludf.DUMMYFUNCTION("""COMPUTED_VALUE"""),"11.08.21 14-55")</f>
        <v>11.08.21 14-55</v>
      </c>
      <c r="N434" t="str">
        <f ca="1">IFERROR(__xludf.DUMMYFUNCTION("""COMPUTED_VALUE"""),"05 ФОРМ")</f>
        <v>05 ФОРМ</v>
      </c>
      <c r="O434">
        <f ca="1">IFERROR(__xludf.DUMMYFUNCTION("""COMPUTED_VALUE"""),32280)</f>
        <v>32280</v>
      </c>
      <c r="P434" t="str">
        <f ca="1">IFERROR(__xludf.DUMMYFUNCTION("""COMPUTED_VALUE"""),"БЕРЕЗАНЬ")</f>
        <v>БЕРЕЗАНЬ</v>
      </c>
      <c r="Q434">
        <f ca="1">IFERROR(__xludf.DUMMYFUNCTION("""COMPUTED_VALUE"""),49480)</f>
        <v>49480</v>
      </c>
      <c r="R434" t="str">
        <f ca="1">IFERROR(__xludf.DUMMYFUNCTION("""COMPUTED_VALUE"""),"СОЛЬ")</f>
        <v>СОЛЬ</v>
      </c>
      <c r="S434" t="str">
        <f ca="1">IFERROR(__xludf.DUMMYFUNCTION("""COMPUTED_VALUE"""),"07.08.21 12-30")</f>
        <v>07.08.21 12-30</v>
      </c>
      <c r="T434">
        <f ca="1">IFERROR(__xludf.DUMMYFUNCTION("""COMPUTED_VALUE"""),5377)</f>
        <v>5377</v>
      </c>
      <c r="U434" t="str">
        <f ca="1">IFERROR(__xludf.DUMMYFUNCTION("""COMPUTED_VALUE"""),"02.07.2024 ДР")</f>
        <v>02.07.2024 ДР</v>
      </c>
      <c r="Z434" t="str">
        <f ca="1">IFERROR(__xludf.DUMMYFUNCTION("""COMPUTED_VALUE"""),"ООО «ДОНУРЛОГИСТИК»")</f>
        <v>ООО «ДОНУРЛОГИСТИК»</v>
      </c>
      <c r="AA434" t="str">
        <f ca="1">IFERROR(__xludf.DUMMYFUNCTION("""COMPUTED_VALUE"""),"12-132")</f>
        <v>12-132</v>
      </c>
      <c r="AB434" t="str">
        <f ca="1">IFERROR(__xludf.DUMMYFUNCTION("""COMPUTED_VALUE"""),"43 ЮЖН")</f>
        <v>43 ЮЖН</v>
      </c>
      <c r="AC434" t="str">
        <f ca="1">IFERROR(__xludf.DUMMYFUNCTION("""COMPUTED_VALUE"""),"44040 ХАРЬКОВ-ПАСС")</f>
        <v>44040 ХАРЬКОВ-ПАСС</v>
      </c>
      <c r="AD434" t="str">
        <f ca="1">IFERROR(__xludf.DUMMYFUNCTION("""COMPUTED_VALUE"""),"02.07.21 13-08")</f>
        <v>02.07.21 13-08</v>
      </c>
      <c r="AE434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4" t="str">
        <f ca="1">IFERROR(__xludf.DUMMYFUNCTION("""COMPUTED_VALUE"""),"43 ЮЖН")</f>
        <v>43 ЮЖН</v>
      </c>
      <c r="AG434" t="str">
        <f ca="1">IFERROR(__xludf.DUMMYFUNCTION("""COMPUTED_VALUE"""),"44040 ХАРЬКОВ-ПАСС")</f>
        <v>44040 ХАРЬКОВ-ПАСС</v>
      </c>
      <c r="AH434" t="str">
        <f ca="1">IFERROR(__xludf.DUMMYFUNCTION("""COMPUTED_VALUE"""),"02.07.21 19-27")</f>
        <v>02.07.21 19-27</v>
      </c>
      <c r="AI434" s="21">
        <f ca="1">IFERROR(__xludf.DUMMYFUNCTION("""COMPUTED_VALUE"""),44420.3583449074)</f>
        <v>44420.358344907399</v>
      </c>
    </row>
    <row r="435" spans="1:35" ht="13" x14ac:dyDescent="0.15">
      <c r="A435">
        <f ca="1">IFERROR(__xludf.DUMMYFUNCTION("""COMPUTED_VALUE"""),1783)</f>
        <v>1783</v>
      </c>
      <c r="B435" t="str">
        <f ca="1">IFERROR(__xludf.DUMMYFUNCTION("""COMPUTED_VALUE"""),"Чужие")</f>
        <v>Чужие</v>
      </c>
      <c r="C435" t="str">
        <f ca="1">IFERROR(__xludf.DUMMYFUNCTION("""COMPUTED_VALUE"""),"Стиль")</f>
        <v>Стиль</v>
      </c>
      <c r="D435">
        <f ca="1">IFERROR(__xludf.DUMMYFUNCTION("""COMPUTED_VALUE"""),56357163)</f>
        <v>56357163</v>
      </c>
      <c r="E435" t="str">
        <f ca="1">IFERROR(__xludf.DUMMYFUNCTION("""COMPUTED_VALUE"""),"60 ПОЛУВАГОНЫ")</f>
        <v>60 ПОЛУВАГОНЫ</v>
      </c>
      <c r="F435">
        <f ca="1">IFERROR(__xludf.DUMMYFUNCTION("""COMPUTED_VALUE"""),24132)</f>
        <v>24132</v>
      </c>
      <c r="G435" t="str">
        <f ca="1">IFERROR(__xludf.DUMMYFUNCTION("""COMPUTED_VALUE"""),"КАМЕНЬ ГИПСОВ")</f>
        <v>КАМЕНЬ ГИПСОВ</v>
      </c>
      <c r="H435">
        <f ca="1">IFERROR(__xludf.DUMMYFUNCTION("""COMPUTED_VALUE"""),70)</f>
        <v>70</v>
      </c>
      <c r="I435">
        <f ca="1">IFERROR(__xludf.DUMMYFUNCTION("""COMPUTED_VALUE"""),3203)</f>
        <v>3203</v>
      </c>
      <c r="J435" t="str">
        <f ca="1">IFERROR(__xludf.DUMMYFUNCTION("""COMPUTED_VALUE"""),"2711 (46000-790-41510) ЗАПОРОЖ-ЛЕВ - НИКОЛАЕВ")</f>
        <v>2711 (46000-790-41510) ЗАПОРОЖ-ЛЕВ - НИКОЛАЕВ</v>
      </c>
      <c r="K435">
        <f ca="1">IFERROR(__xludf.DUMMYFUNCTION("""COMPUTED_VALUE"""),41510)</f>
        <v>41510</v>
      </c>
      <c r="L435" t="str">
        <f ca="1">IFERROR(__xludf.DUMMYFUNCTION("""COMPUTED_VALUE"""),"НИКОЛАЕВ")</f>
        <v>НИКОЛАЕВ</v>
      </c>
      <c r="M435" t="str">
        <f ca="1">IFERROR(__xludf.DUMMYFUNCTION("""COMPUTED_VALUE"""),"12.08.21 03-25")</f>
        <v>12.08.21 03-25</v>
      </c>
      <c r="N435" t="str">
        <f ca="1">IFERROR(__xludf.DUMMYFUNCTION("""COMPUTED_VALUE"""),"04 РАСФ")</f>
        <v>04 РАСФ</v>
      </c>
      <c r="O435">
        <f ca="1">IFERROR(__xludf.DUMMYFUNCTION("""COMPUTED_VALUE"""),41680)</f>
        <v>41680</v>
      </c>
      <c r="P435" t="str">
        <f ca="1">IFERROR(__xludf.DUMMYFUNCTION("""COMPUTED_VALUE"""),"КАХОВКА")</f>
        <v>КАХОВКА</v>
      </c>
      <c r="Q435">
        <f ca="1">IFERROR(__xludf.DUMMYFUNCTION("""COMPUTED_VALUE"""),49480)</f>
        <v>49480</v>
      </c>
      <c r="R435" t="str">
        <f ca="1">IFERROR(__xludf.DUMMYFUNCTION("""COMPUTED_VALUE"""),"СОЛЬ")</f>
        <v>СОЛЬ</v>
      </c>
      <c r="S435" t="str">
        <f ca="1">IFERROR(__xludf.DUMMYFUNCTION("""COMPUTED_VALUE"""),"07.08.21 12-30")</f>
        <v>07.08.21 12-30</v>
      </c>
      <c r="T435">
        <f ca="1">IFERROR(__xludf.DUMMYFUNCTION("""COMPUTED_VALUE"""),5377)</f>
        <v>5377</v>
      </c>
      <c r="U435" t="str">
        <f ca="1">IFERROR(__xludf.DUMMYFUNCTION("""COMPUTED_VALUE"""),"02.07.2024 ДР")</f>
        <v>02.07.2024 ДР</v>
      </c>
      <c r="Z435" t="str">
        <f ca="1">IFERROR(__xludf.DUMMYFUNCTION("""COMPUTED_VALUE"""),"ООО «ДОНУРЛОГИСТИК»")</f>
        <v>ООО «ДОНУРЛОГИСТИК»</v>
      </c>
      <c r="AA435" t="str">
        <f ca="1">IFERROR(__xludf.DUMMYFUNCTION("""COMPUTED_VALUE"""),"12-132")</f>
        <v>12-132</v>
      </c>
      <c r="AB435" t="str">
        <f ca="1">IFERROR(__xludf.DUMMYFUNCTION("""COMPUTED_VALUE"""),"43 ЮЖН")</f>
        <v>43 ЮЖН</v>
      </c>
      <c r="AC435" t="str">
        <f ca="1">IFERROR(__xludf.DUMMYFUNCTION("""COMPUTED_VALUE"""),"44040 ХАРЬКОВ-ПАСС")</f>
        <v>44040 ХАРЬКОВ-ПАСС</v>
      </c>
      <c r="AD435" t="str">
        <f ca="1">IFERROR(__xludf.DUMMYFUNCTION("""COMPUTED_VALUE"""),"29.06.21 19-11")</f>
        <v>29.06.21 19-11</v>
      </c>
      <c r="AE435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5" t="str">
        <f ca="1">IFERROR(__xludf.DUMMYFUNCTION("""COMPUTED_VALUE"""),"43 ЮЖН")</f>
        <v>43 ЮЖН</v>
      </c>
      <c r="AG435" t="str">
        <f ca="1">IFERROR(__xludf.DUMMYFUNCTION("""COMPUTED_VALUE"""),"44040 ХАРЬКОВ-ПАСС")</f>
        <v>44040 ХАРЬКОВ-ПАСС</v>
      </c>
      <c r="AH435" t="str">
        <f ca="1">IFERROR(__xludf.DUMMYFUNCTION("""COMPUTED_VALUE"""),"02.07.21 19-14")</f>
        <v>02.07.21 19-14</v>
      </c>
      <c r="AI435" s="21">
        <f ca="1">IFERROR(__xludf.DUMMYFUNCTION("""COMPUTED_VALUE"""),44420.3583449074)</f>
        <v>44420.358344907399</v>
      </c>
    </row>
    <row r="436" spans="1:35" ht="13" x14ac:dyDescent="0.15">
      <c r="A436">
        <f ca="1">IFERROR(__xludf.DUMMYFUNCTION("""COMPUTED_VALUE"""),1784)</f>
        <v>1784</v>
      </c>
      <c r="B436" t="str">
        <f ca="1">IFERROR(__xludf.DUMMYFUNCTION("""COMPUTED_VALUE"""),"Чужие")</f>
        <v>Чужие</v>
      </c>
      <c r="C436" t="str">
        <f ca="1">IFERROR(__xludf.DUMMYFUNCTION("""COMPUTED_VALUE"""),"Стиль")</f>
        <v>Стиль</v>
      </c>
      <c r="D436">
        <f ca="1">IFERROR(__xludf.DUMMYFUNCTION("""COMPUTED_VALUE"""),56365539)</f>
        <v>56365539</v>
      </c>
      <c r="E436" t="str">
        <f ca="1">IFERROR(__xludf.DUMMYFUNCTION("""COMPUTED_VALUE"""),"60 ПОЛУВАГОНЫ")</f>
        <v>60 ПОЛУВАГОНЫ</v>
      </c>
      <c r="F436">
        <f ca="1">IFERROR(__xludf.DUMMYFUNCTION("""COMPUTED_VALUE"""),24132)</f>
        <v>24132</v>
      </c>
      <c r="G436" t="str">
        <f ca="1">IFERROR(__xludf.DUMMYFUNCTION("""COMPUTED_VALUE"""),"КАМЕНЬ ГИПСОВ")</f>
        <v>КАМЕНЬ ГИПСОВ</v>
      </c>
      <c r="H436">
        <f ca="1">IFERROR(__xludf.DUMMYFUNCTION("""COMPUTED_VALUE"""),70)</f>
        <v>70</v>
      </c>
      <c r="I436">
        <f ca="1">IFERROR(__xludf.DUMMYFUNCTION("""COMPUTED_VALUE"""),8249)</f>
        <v>8249</v>
      </c>
      <c r="J436" t="str">
        <f ca="1">IFERROR(__xludf.DUMMYFUNCTION("""COMPUTED_VALUE"""),"3401 (44870-191-42830) ПОЛТАВА-ЮЖН - ГРЕБЕНКА")</f>
        <v>3401 (44870-191-42830) ПОЛТАВА-ЮЖН - ГРЕБЕНКА</v>
      </c>
      <c r="K436">
        <f ca="1">IFERROR(__xludf.DUMMYFUNCTION("""COMPUTED_VALUE"""),44870)</f>
        <v>44870</v>
      </c>
      <c r="L436" t="str">
        <f ca="1">IFERROR(__xludf.DUMMYFUNCTION("""COMPUTED_VALUE"""),"ПОЛТАВА-ЮЖН")</f>
        <v>ПОЛТАВА-ЮЖН</v>
      </c>
      <c r="M436" t="str">
        <f ca="1">IFERROR(__xludf.DUMMYFUNCTION("""COMPUTED_VALUE"""),"11.08.21 14-55")</f>
        <v>11.08.21 14-55</v>
      </c>
      <c r="N436" t="str">
        <f ca="1">IFERROR(__xludf.DUMMYFUNCTION("""COMPUTED_VALUE"""),"05 ФОРМ")</f>
        <v>05 ФОРМ</v>
      </c>
      <c r="O436">
        <f ca="1">IFERROR(__xludf.DUMMYFUNCTION("""COMPUTED_VALUE"""),32280)</f>
        <v>32280</v>
      </c>
      <c r="P436" t="str">
        <f ca="1">IFERROR(__xludf.DUMMYFUNCTION("""COMPUTED_VALUE"""),"БЕРЕЗАНЬ")</f>
        <v>БЕРЕЗАНЬ</v>
      </c>
      <c r="Q436">
        <f ca="1">IFERROR(__xludf.DUMMYFUNCTION("""COMPUTED_VALUE"""),49480)</f>
        <v>49480</v>
      </c>
      <c r="R436" t="str">
        <f ca="1">IFERROR(__xludf.DUMMYFUNCTION("""COMPUTED_VALUE"""),"СОЛЬ")</f>
        <v>СОЛЬ</v>
      </c>
      <c r="S436" t="str">
        <f ca="1">IFERROR(__xludf.DUMMYFUNCTION("""COMPUTED_VALUE"""),"07.08.21 12-30")</f>
        <v>07.08.21 12-30</v>
      </c>
      <c r="T436">
        <f ca="1">IFERROR(__xludf.DUMMYFUNCTION("""COMPUTED_VALUE"""),5377)</f>
        <v>5377</v>
      </c>
      <c r="U436" t="str">
        <f ca="1">IFERROR(__xludf.DUMMYFUNCTION("""COMPUTED_VALUE"""),"02.07.2024 ДР")</f>
        <v>02.07.2024 ДР</v>
      </c>
      <c r="Z436" t="str">
        <f ca="1">IFERROR(__xludf.DUMMYFUNCTION("""COMPUTED_VALUE"""),"ООО «ДОНУРЛОГИСТИК»")</f>
        <v>ООО «ДОНУРЛОГИСТИК»</v>
      </c>
      <c r="AA436" t="str">
        <f ca="1">IFERROR(__xludf.DUMMYFUNCTION("""COMPUTED_VALUE"""),"12-132")</f>
        <v>12-132</v>
      </c>
      <c r="AB436" t="str">
        <f ca="1">IFERROR(__xludf.DUMMYFUNCTION("""COMPUTED_VALUE"""),"43 ЮЖН")</f>
        <v>43 ЮЖН</v>
      </c>
      <c r="AC436" t="str">
        <f ca="1">IFERROR(__xludf.DUMMYFUNCTION("""COMPUTED_VALUE"""),"44040 ХАРЬКОВ-ПАСС")</f>
        <v>44040 ХАРЬКОВ-ПАСС</v>
      </c>
      <c r="AD436" t="str">
        <f ca="1">IFERROR(__xludf.DUMMYFUNCTION("""COMPUTED_VALUE"""),"02.07.21 13-16")</f>
        <v>02.07.21 13-16</v>
      </c>
      <c r="AE436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6" t="str">
        <f ca="1">IFERROR(__xludf.DUMMYFUNCTION("""COMPUTED_VALUE"""),"43 ЮЖН")</f>
        <v>43 ЮЖН</v>
      </c>
      <c r="AG436" t="str">
        <f ca="1">IFERROR(__xludf.DUMMYFUNCTION("""COMPUTED_VALUE"""),"44040 ХАРЬКОВ-ПАСС")</f>
        <v>44040 ХАРЬКОВ-ПАСС</v>
      </c>
      <c r="AH436" t="str">
        <f ca="1">IFERROR(__xludf.DUMMYFUNCTION("""COMPUTED_VALUE"""),"02.07.21 18-48")</f>
        <v>02.07.21 18-48</v>
      </c>
      <c r="AI436" s="21">
        <f ca="1">IFERROR(__xludf.DUMMYFUNCTION("""COMPUTED_VALUE"""),44420.3583449074)</f>
        <v>44420.358344907399</v>
      </c>
    </row>
    <row r="437" spans="1:35" ht="13" x14ac:dyDescent="0.15">
      <c r="A437">
        <f ca="1">IFERROR(__xludf.DUMMYFUNCTION("""COMPUTED_VALUE"""),1785)</f>
        <v>1785</v>
      </c>
      <c r="B437" t="str">
        <f ca="1">IFERROR(__xludf.DUMMYFUNCTION("""COMPUTED_VALUE"""),"Техрейс")</f>
        <v>Техрейс</v>
      </c>
      <c r="C437" t="str">
        <f ca="1">IFERROR(__xludf.DUMMYFUNCTION("""COMPUTED_VALUE"""),"Галицька Логістична Компанія")</f>
        <v>Галицька Логістична Компанія</v>
      </c>
      <c r="D437">
        <f ca="1">IFERROR(__xludf.DUMMYFUNCTION("""COMPUTED_VALUE"""),56365521)</f>
        <v>56365521</v>
      </c>
      <c r="E437" t="str">
        <f ca="1">IFERROR(__xludf.DUMMYFUNCTION("""COMPUTED_VALUE"""),"60 ПОЛУВАГОНЫ")</f>
        <v>60 ПОЛУВАГОНЫ</v>
      </c>
      <c r="F437">
        <f ca="1">IFERROR(__xludf.DUMMYFUNCTION("""COMPUTED_VALUE"""),42119)</f>
        <v>42119</v>
      </c>
      <c r="G437" t="str">
        <f ca="1">IFERROR(__xludf.DUMMYFUNCTION("""COMPUTED_VALUE"""),"ВАГОНЫ ЖД РЕМОН")</f>
        <v>ВАГОНЫ ЖД РЕМОН</v>
      </c>
      <c r="H437">
        <f ca="1">IFERROR(__xludf.DUMMYFUNCTION("""COMPUTED_VALUE"""),0)</f>
        <v>0</v>
      </c>
      <c r="I437">
        <f ca="1">IFERROR(__xludf.DUMMYFUNCTION("""COMPUTED_VALUE"""),4714)</f>
        <v>4714</v>
      </c>
      <c r="J437" t="str">
        <f ca="1">IFERROR(__xludf.DUMMYFUNCTION("""COMPUTED_VALUE"""),"3501 (49000-780-49480) ЛИМАН - СОЛЬ")</f>
        <v>3501 (49000-780-49480) ЛИМАН - СОЛЬ</v>
      </c>
      <c r="K437">
        <f ca="1">IFERROR(__xludf.DUMMYFUNCTION("""COMPUTED_VALUE"""),49480)</f>
        <v>49480</v>
      </c>
      <c r="L437" t="str">
        <f ca="1">IFERROR(__xludf.DUMMYFUNCTION("""COMPUTED_VALUE"""),"СОЛЬ")</f>
        <v>СОЛЬ</v>
      </c>
      <c r="M437" t="str">
        <f ca="1">IFERROR(__xludf.DUMMYFUNCTION("""COMPUTED_VALUE"""),"12.08.21 08-12")</f>
        <v>12.08.21 08-12</v>
      </c>
      <c r="N437" t="str">
        <f ca="1">IFERROR(__xludf.DUMMYFUNCTION("""COMPUTED_VALUE"""),"04 РАСФ")</f>
        <v>04 РАСФ</v>
      </c>
      <c r="O437">
        <f ca="1">IFERROR(__xludf.DUMMYFUNCTION("""COMPUTED_VALUE"""),49480)</f>
        <v>49480</v>
      </c>
      <c r="P437" t="str">
        <f ca="1">IFERROR(__xludf.DUMMYFUNCTION("""COMPUTED_VALUE"""),"СОЛЬ")</f>
        <v>СОЛЬ</v>
      </c>
      <c r="Q437">
        <f ca="1">IFERROR(__xludf.DUMMYFUNCTION("""COMPUTED_VALUE"""),41190)</f>
        <v>41190</v>
      </c>
      <c r="R437" t="str">
        <f ca="1">IFERROR(__xludf.DUMMYFUNCTION("""COMPUTED_VALUE"""),"ПОМОШНАЯ")</f>
        <v>ПОМОШНАЯ</v>
      </c>
      <c r="S437" t="str">
        <f ca="1">IFERROR(__xludf.DUMMYFUNCTION("""COMPUTED_VALUE"""),"08.08.21 07-00")</f>
        <v>08.08.21 07-00</v>
      </c>
      <c r="T437">
        <f ca="1">IFERROR(__xludf.DUMMYFUNCTION("""COMPUTED_VALUE"""),9796)</f>
        <v>9796</v>
      </c>
      <c r="U437" t="str">
        <f ca="1">IFERROR(__xludf.DUMMYFUNCTION("""COMPUTED_VALUE"""),"03.08.2024 ДР")</f>
        <v>03.08.2024 ДР</v>
      </c>
      <c r="Z437" t="str">
        <f ca="1">IFERROR(__xludf.DUMMYFUNCTION("""COMPUTED_VALUE"""),"ЧП «ИНВЕСТО»")</f>
        <v>ЧП «ИНВЕСТО»</v>
      </c>
      <c r="AA437" t="str">
        <f ca="1">IFERROR(__xludf.DUMMYFUNCTION("""COMPUTED_VALUE"""),"12-132")</f>
        <v>12-132</v>
      </c>
      <c r="AB437" t="str">
        <f ca="1">IFERROR(__xludf.DUMMYFUNCTION("""COMPUTED_VALUE"""),"40 ОД")</f>
        <v>40 ОД</v>
      </c>
      <c r="AC437" t="str">
        <f ca="1">IFERROR(__xludf.DUMMYFUNCTION("""COMPUTED_VALUE"""),"41190 ПОМОШНАЯ")</f>
        <v>41190 ПОМОШНАЯ</v>
      </c>
      <c r="AD437" t="str">
        <f ca="1">IFERROR(__xludf.DUMMYFUNCTION("""COMPUTED_VALUE"""),"20.07.21 06-35")</f>
        <v>20.07.21 06-35</v>
      </c>
      <c r="AE437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7" t="str">
        <f ca="1">IFERROR(__xludf.DUMMYFUNCTION("""COMPUTED_VALUE"""),"40 ОД")</f>
        <v>40 ОД</v>
      </c>
      <c r="AG437" t="str">
        <f ca="1">IFERROR(__xludf.DUMMYFUNCTION("""COMPUTED_VALUE"""),"41190 ПОМОШНАЯ")</f>
        <v>41190 ПОМОШНАЯ</v>
      </c>
      <c r="AH437" t="str">
        <f ca="1">IFERROR(__xludf.DUMMYFUNCTION("""COMPUTED_VALUE"""),"03.08.21 17-20")</f>
        <v>03.08.21 17-20</v>
      </c>
      <c r="AI437" s="21">
        <f ca="1">IFERROR(__xludf.DUMMYFUNCTION("""COMPUTED_VALUE"""),44420.3583449074)</f>
        <v>44420.358344907399</v>
      </c>
    </row>
    <row r="438" spans="1:35" ht="13" x14ac:dyDescent="0.15">
      <c r="A438">
        <f ca="1">IFERROR(__xludf.DUMMYFUNCTION("""COMPUTED_VALUE"""),1786)</f>
        <v>1786</v>
      </c>
      <c r="B438" t="str">
        <f ca="1">IFERROR(__xludf.DUMMYFUNCTION("""COMPUTED_VALUE"""),"Чужие")</f>
        <v>Чужие</v>
      </c>
      <c r="C438" t="str">
        <f ca="1">IFERROR(__xludf.DUMMYFUNCTION("""COMPUTED_VALUE"""),"Стиль")</f>
        <v>Стиль</v>
      </c>
      <c r="D438">
        <f ca="1">IFERROR(__xludf.DUMMYFUNCTION("""COMPUTED_VALUE"""),52365061)</f>
        <v>52365061</v>
      </c>
      <c r="E438" t="str">
        <f ca="1">IFERROR(__xludf.DUMMYFUNCTION("""COMPUTED_VALUE"""),"60 ПОЛУВАГОНЫ")</f>
        <v>60 ПОЛУВАГОНЫ</v>
      </c>
      <c r="F438">
        <f ca="1">IFERROR(__xludf.DUMMYFUNCTION("""COMPUTED_VALUE"""),24132)</f>
        <v>24132</v>
      </c>
      <c r="G438" t="str">
        <f ca="1">IFERROR(__xludf.DUMMYFUNCTION("""COMPUTED_VALUE"""),"КАМЕНЬ ГИПСОВ")</f>
        <v>КАМЕНЬ ГИПСОВ</v>
      </c>
      <c r="H438">
        <f ca="1">IFERROR(__xludf.DUMMYFUNCTION("""COMPUTED_VALUE"""),70)</f>
        <v>70</v>
      </c>
      <c r="I438">
        <f ca="1">IFERROR(__xludf.DUMMYFUNCTION("""COMPUTED_VALUE"""),3203)</f>
        <v>3203</v>
      </c>
      <c r="J438" t="str">
        <f ca="1">IFERROR(__xludf.DUMMYFUNCTION("""COMPUTED_VALUE"""),"9507 (49000-770-41510) ЛИМАН - НИКОЛАЕВ")</f>
        <v>9507 (49000-770-41510) ЛИМАН - НИКОЛАЕВ</v>
      </c>
      <c r="K438">
        <f ca="1">IFERROR(__xludf.DUMMYFUNCTION("""COMPUTED_VALUE"""),45000)</f>
        <v>45000</v>
      </c>
      <c r="L438" t="str">
        <f ca="1">IFERROR(__xludf.DUMMYFUNCTION("""COMPUTED_VALUE"""),"НИЖНЕДН-УЗЕЛ")</f>
        <v>НИЖНЕДН-УЗЕЛ</v>
      </c>
      <c r="M438" t="str">
        <f ca="1">IFERROR(__xludf.DUMMYFUNCTION("""COMPUTED_VALUE"""),"12.08.21 08-15")</f>
        <v>12.08.21 08-15</v>
      </c>
      <c r="N438" t="str">
        <f ca="1">IFERROR(__xludf.DUMMYFUNCTION("""COMPUTED_VALUE"""),"51 ПРИБ")</f>
        <v>51 ПРИБ</v>
      </c>
      <c r="O438">
        <f ca="1">IFERROR(__xludf.DUMMYFUNCTION("""COMPUTED_VALUE"""),41680)</f>
        <v>41680</v>
      </c>
      <c r="P438" t="str">
        <f ca="1">IFERROR(__xludf.DUMMYFUNCTION("""COMPUTED_VALUE"""),"КАХОВКА")</f>
        <v>КАХОВКА</v>
      </c>
      <c r="Q438">
        <f ca="1">IFERROR(__xludf.DUMMYFUNCTION("""COMPUTED_VALUE"""),49480)</f>
        <v>49480</v>
      </c>
      <c r="R438" t="str">
        <f ca="1">IFERROR(__xludf.DUMMYFUNCTION("""COMPUTED_VALUE"""),"СОЛЬ")</f>
        <v>СОЛЬ</v>
      </c>
      <c r="S438" t="str">
        <f ca="1">IFERROR(__xludf.DUMMYFUNCTION("""COMPUTED_VALUE"""),"10.08.21 02-25")</f>
        <v>10.08.21 02-25</v>
      </c>
      <c r="T438">
        <f ca="1">IFERROR(__xludf.DUMMYFUNCTION("""COMPUTED_VALUE"""),5377)</f>
        <v>5377</v>
      </c>
      <c r="U438" t="str">
        <f ca="1">IFERROR(__xludf.DUMMYFUNCTION("""COMPUTED_VALUE"""),"22.11.2023 ДР")</f>
        <v>22.11.2023 ДР</v>
      </c>
      <c r="Z438" t="str">
        <f ca="1">IFERROR(__xludf.DUMMYFUNCTION("""COMPUTED_VALUE"""),"ООО «СТИЛЬ-КЕПИТАЛ»")</f>
        <v>ООО «СТИЛЬ-КЕПИТАЛ»</v>
      </c>
      <c r="AA438" t="str">
        <f ca="1">IFERROR(__xludf.DUMMYFUNCTION("""COMPUTED_VALUE"""),"12-132")</f>
        <v>12-132</v>
      </c>
      <c r="AB438" t="str">
        <f ca="1">IFERROR(__xludf.DUMMYFUNCTION("""COMPUTED_VALUE"""),"48 ДОН")</f>
        <v>48 ДОН</v>
      </c>
      <c r="AC438" t="str">
        <f ca="1">IFERROR(__xludf.DUMMYFUNCTION("""COMPUTED_VALUE"""),"48200 ПОКРОВСК")</f>
        <v>48200 ПОКРОВСК</v>
      </c>
      <c r="AD438" t="str">
        <f ca="1">IFERROR(__xludf.DUMMYFUNCTION("""COMPUTED_VALUE"""),"07.11.20 14-00")</f>
        <v>07.11.20 14-00</v>
      </c>
      <c r="AE438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8" t="str">
        <f ca="1">IFERROR(__xludf.DUMMYFUNCTION("""COMPUTED_VALUE"""),"48 ДОН")</f>
        <v>48 ДОН</v>
      </c>
      <c r="AG438" t="str">
        <f ca="1">IFERROR(__xludf.DUMMYFUNCTION("""COMPUTED_VALUE"""),"48200 ПОКРОВСК")</f>
        <v>48200 ПОКРОВСК</v>
      </c>
      <c r="AH438" t="str">
        <f ca="1">IFERROR(__xludf.DUMMYFUNCTION("""COMPUTED_VALUE"""),"22.11.20 16-00")</f>
        <v>22.11.20 16-00</v>
      </c>
      <c r="AI438" s="21">
        <f ca="1">IFERROR(__xludf.DUMMYFUNCTION("""COMPUTED_VALUE"""),44420.3583449074)</f>
        <v>44420.358344907399</v>
      </c>
    </row>
    <row r="439" spans="1:35" ht="13" x14ac:dyDescent="0.15">
      <c r="A439">
        <f ca="1">IFERROR(__xludf.DUMMYFUNCTION("""COMPUTED_VALUE"""),1787)</f>
        <v>1787</v>
      </c>
      <c r="B439" t="str">
        <f ca="1">IFERROR(__xludf.DUMMYFUNCTION("""COMPUTED_VALUE"""),"Чужие")</f>
        <v>Чужие</v>
      </c>
      <c r="C439" t="str">
        <f ca="1">IFERROR(__xludf.DUMMYFUNCTION("""COMPUTED_VALUE"""),"Стиль")</f>
        <v>Стиль</v>
      </c>
      <c r="D439">
        <f ca="1">IFERROR(__xludf.DUMMYFUNCTION("""COMPUTED_VALUE"""),52292463)</f>
        <v>52292463</v>
      </c>
      <c r="E439" t="str">
        <f ca="1">IFERROR(__xludf.DUMMYFUNCTION("""COMPUTED_VALUE"""),"60 ПОЛУВАГОНЫ")</f>
        <v>60 ПОЛУВАГОНЫ</v>
      </c>
      <c r="F439">
        <f ca="1">IFERROR(__xludf.DUMMYFUNCTION("""COMPUTED_VALUE"""),24132)</f>
        <v>24132</v>
      </c>
      <c r="G439" t="str">
        <f ca="1">IFERROR(__xludf.DUMMYFUNCTION("""COMPUTED_VALUE"""),"КАМЕНЬ ГИПСОВ")</f>
        <v>КАМЕНЬ ГИПСОВ</v>
      </c>
      <c r="H439">
        <f ca="1">IFERROR(__xludf.DUMMYFUNCTION("""COMPUTED_VALUE"""),70)</f>
        <v>70</v>
      </c>
      <c r="I439">
        <f ca="1">IFERROR(__xludf.DUMMYFUNCTION("""COMPUTED_VALUE"""),3203)</f>
        <v>3203</v>
      </c>
      <c r="J439" t="str">
        <f ca="1">IFERROR(__xludf.DUMMYFUNCTION("""COMPUTED_VALUE"""),"9507 (49000-770-41510) ЛИМАН - НИКОЛАЕВ")</f>
        <v>9507 (49000-770-41510) ЛИМАН - НИКОЛАЕВ</v>
      </c>
      <c r="K439">
        <f ca="1">IFERROR(__xludf.DUMMYFUNCTION("""COMPUTED_VALUE"""),45000)</f>
        <v>45000</v>
      </c>
      <c r="L439" t="str">
        <f ca="1">IFERROR(__xludf.DUMMYFUNCTION("""COMPUTED_VALUE"""),"НИЖНЕДН-УЗЕЛ")</f>
        <v>НИЖНЕДН-УЗЕЛ</v>
      </c>
      <c r="M439" t="str">
        <f ca="1">IFERROR(__xludf.DUMMYFUNCTION("""COMPUTED_VALUE"""),"12.08.21 08-15")</f>
        <v>12.08.21 08-15</v>
      </c>
      <c r="N439" t="str">
        <f ca="1">IFERROR(__xludf.DUMMYFUNCTION("""COMPUTED_VALUE"""),"51 ПРИБ")</f>
        <v>51 ПРИБ</v>
      </c>
      <c r="O439">
        <f ca="1">IFERROR(__xludf.DUMMYFUNCTION("""COMPUTED_VALUE"""),41680)</f>
        <v>41680</v>
      </c>
      <c r="P439" t="str">
        <f ca="1">IFERROR(__xludf.DUMMYFUNCTION("""COMPUTED_VALUE"""),"КАХОВКА")</f>
        <v>КАХОВКА</v>
      </c>
      <c r="Q439">
        <f ca="1">IFERROR(__xludf.DUMMYFUNCTION("""COMPUTED_VALUE"""),49480)</f>
        <v>49480</v>
      </c>
      <c r="R439" t="str">
        <f ca="1">IFERROR(__xludf.DUMMYFUNCTION("""COMPUTED_VALUE"""),"СОЛЬ")</f>
        <v>СОЛЬ</v>
      </c>
      <c r="S439" t="str">
        <f ca="1">IFERROR(__xludf.DUMMYFUNCTION("""COMPUTED_VALUE"""),"10.08.21 02-25")</f>
        <v>10.08.21 02-25</v>
      </c>
      <c r="T439">
        <f ca="1">IFERROR(__xludf.DUMMYFUNCTION("""COMPUTED_VALUE"""),5377)</f>
        <v>5377</v>
      </c>
      <c r="U439" t="str">
        <f ca="1">IFERROR(__xludf.DUMMYFUNCTION("""COMPUTED_VALUE"""),"26.09.2023 ДР")</f>
        <v>26.09.2023 ДР</v>
      </c>
      <c r="Z439" t="str">
        <f ca="1">IFERROR(__xludf.DUMMYFUNCTION("""COMPUTED_VALUE"""),"ООО «СТИЛЬ-КЕПИТАЛ»")</f>
        <v>ООО «СТИЛЬ-КЕПИТАЛ»</v>
      </c>
      <c r="AA439" t="str">
        <f ca="1">IFERROR(__xludf.DUMMYFUNCTION("""COMPUTED_VALUE"""),"12-132")</f>
        <v>12-132</v>
      </c>
      <c r="AB439" t="str">
        <f ca="1">IFERROR(__xludf.DUMMYFUNCTION("""COMPUTED_VALUE"""),"48 ДОН")</f>
        <v>48 ДОН</v>
      </c>
      <c r="AC439" t="str">
        <f ca="1">IFERROR(__xludf.DUMMYFUNCTION("""COMPUTED_VALUE"""),"48200 ПОКРОВСК")</f>
        <v>48200 ПОКРОВСК</v>
      </c>
      <c r="AD439" t="str">
        <f ca="1">IFERROR(__xludf.DUMMYFUNCTION("""COMPUTED_VALUE"""),"09.09.20 11-20")</f>
        <v>09.09.20 11-20</v>
      </c>
      <c r="AE439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9" t="str">
        <f ca="1">IFERROR(__xludf.DUMMYFUNCTION("""COMPUTED_VALUE"""),"48 ДОН")</f>
        <v>48 ДОН</v>
      </c>
      <c r="AG439" t="str">
        <f ca="1">IFERROR(__xludf.DUMMYFUNCTION("""COMPUTED_VALUE"""),"48200 ПОКРОВСК")</f>
        <v>48200 ПОКРОВСК</v>
      </c>
      <c r="AH439" t="str">
        <f ca="1">IFERROR(__xludf.DUMMYFUNCTION("""COMPUTED_VALUE"""),"26.09.20 16-00")</f>
        <v>26.09.20 16-00</v>
      </c>
      <c r="AI439" s="21">
        <f ca="1">IFERROR(__xludf.DUMMYFUNCTION("""COMPUTED_VALUE"""),44420.3583449074)</f>
        <v>44420.358344907399</v>
      </c>
    </row>
    <row r="440" spans="1:35" ht="13" x14ac:dyDescent="0.15">
      <c r="A440">
        <f ca="1">IFERROR(__xludf.DUMMYFUNCTION("""COMPUTED_VALUE"""),1788)</f>
        <v>1788</v>
      </c>
      <c r="B440" t="str">
        <f ca="1">IFERROR(__xludf.DUMMYFUNCTION("""COMPUTED_VALUE"""),"Чужие")</f>
        <v>Чужие</v>
      </c>
      <c r="C440" t="str">
        <f ca="1">IFERROR(__xludf.DUMMYFUNCTION("""COMPUTED_VALUE"""),"Стиль")</f>
        <v>Стиль</v>
      </c>
      <c r="D440">
        <f ca="1">IFERROR(__xludf.DUMMYFUNCTION("""COMPUTED_VALUE"""),56340078)</f>
        <v>56340078</v>
      </c>
      <c r="E440" t="str">
        <f ca="1">IFERROR(__xludf.DUMMYFUNCTION("""COMPUTED_VALUE"""),"60 ПОЛУВАГОНЫ")</f>
        <v>60 ПОЛУВАГОНЫ</v>
      </c>
      <c r="F440">
        <f ca="1">IFERROR(__xludf.DUMMYFUNCTION("""COMPUTED_VALUE"""),42119)</f>
        <v>42119</v>
      </c>
      <c r="G440" t="str">
        <f ca="1">IFERROR(__xludf.DUMMYFUNCTION("""COMPUTED_VALUE"""),"ВАГОНЫ ЖД РЕМОН")</f>
        <v>ВАГОНЫ ЖД РЕМОН</v>
      </c>
      <c r="H440">
        <f ca="1">IFERROR(__xludf.DUMMYFUNCTION("""COMPUTED_VALUE"""),0)</f>
        <v>0</v>
      </c>
      <c r="I440">
        <f ca="1">IFERROR(__xludf.DUMMYFUNCTION("""COMPUTED_VALUE"""),5377)</f>
        <v>5377</v>
      </c>
      <c r="J440" t="str">
        <f ca="1">IFERROR(__xludf.DUMMYFUNCTION("""COMPUTED_VALUE"""),"2831 (44020-300-49000) ОСНОВА - ЛИМАН")</f>
        <v>2831 (44020-300-49000) ОСНОВА - ЛИМАН</v>
      </c>
      <c r="K440">
        <f ca="1">IFERROR(__xludf.DUMMYFUNCTION("""COMPUTED_VALUE"""),49005)</f>
        <v>49005</v>
      </c>
      <c r="L440" t="str">
        <f ca="1">IFERROR(__xludf.DUMMYFUNCTION("""COMPUTED_VALUE"""),"ФОРПОСТНАЯ")</f>
        <v>ФОРПОСТНАЯ</v>
      </c>
      <c r="M440" t="str">
        <f ca="1">IFERROR(__xludf.DUMMYFUNCTION("""COMPUTED_VALUE"""),"12.08.21 08-19")</f>
        <v>12.08.21 08-19</v>
      </c>
      <c r="N440" t="str">
        <f ca="1">IFERROR(__xludf.DUMMYFUNCTION("""COMPUTED_VALUE"""),"03 ПРОС")</f>
        <v>03 ПРОС</v>
      </c>
      <c r="O440">
        <f ca="1">IFERROR(__xludf.DUMMYFUNCTION("""COMPUTED_VALUE"""),49480)</f>
        <v>49480</v>
      </c>
      <c r="P440" t="str">
        <f ca="1">IFERROR(__xludf.DUMMYFUNCTION("""COMPUTED_VALUE"""),"СОЛЬ")</f>
        <v>СОЛЬ</v>
      </c>
      <c r="Q440">
        <f ca="1">IFERROR(__xludf.DUMMYFUNCTION("""COMPUTED_VALUE"""),44040)</f>
        <v>44040</v>
      </c>
      <c r="R440" t="str">
        <f ca="1">IFERROR(__xludf.DUMMYFUNCTION("""COMPUTED_VALUE"""),"ХАРЬКОВ-ПАСС")</f>
        <v>ХАРЬКОВ-ПАСС</v>
      </c>
      <c r="S440" t="str">
        <f ca="1">IFERROR(__xludf.DUMMYFUNCTION("""COMPUTED_VALUE"""),"09.08.21 17-00")</f>
        <v>09.08.21 17-00</v>
      </c>
      <c r="T440">
        <f ca="1">IFERROR(__xludf.DUMMYFUNCTION("""COMPUTED_VALUE"""),3616)</f>
        <v>3616</v>
      </c>
      <c r="U440" t="str">
        <f ca="1">IFERROR(__xludf.DUMMYFUNCTION("""COMPUTED_VALUE"""),"24.07.2023 ДР")</f>
        <v>24.07.2023 ДР</v>
      </c>
      <c r="Z440" t="str">
        <f ca="1">IFERROR(__xludf.DUMMYFUNCTION("""COMPUTED_VALUE"""),"ООО «СТИЛЬ-КЕПИТАЛ»")</f>
        <v>ООО «СТИЛЬ-КЕПИТАЛ»</v>
      </c>
      <c r="AA440" t="str">
        <f ca="1">IFERROR(__xludf.DUMMYFUNCTION("""COMPUTED_VALUE"""),"12-132")</f>
        <v>12-132</v>
      </c>
      <c r="AB440" t="str">
        <f ca="1">IFERROR(__xludf.DUMMYFUNCTION("""COMPUTED_VALUE"""),"43 ЮЖН")</f>
        <v>43 ЮЖН</v>
      </c>
      <c r="AC440" t="str">
        <f ca="1">IFERROR(__xludf.DUMMYFUNCTION("""COMPUTED_VALUE"""),"44040 ХАРЬКОВ-ПАСС")</f>
        <v>44040 ХАРЬКОВ-ПАСС</v>
      </c>
      <c r="AD440" t="str">
        <f ca="1">IFERROR(__xludf.DUMMYFUNCTION("""COMPUTED_VALUE"""),"30.06.21 19-50")</f>
        <v>30.06.21 19-50</v>
      </c>
      <c r="AE440" t="str">
        <f ca="1">IFERROR(__xludf.DUMMYFUNCTION("""COMPUTED_VALUE"""),"153 ИЗЛOМ/ИЗГИБ КPЫШКИ БУКCЫ")</f>
        <v>153 ИЗЛOМ/ИЗГИБ КPЫШКИ БУКCЫ</v>
      </c>
      <c r="AF440" t="str">
        <f ca="1">IFERROR(__xludf.DUMMYFUNCTION("""COMPUTED_VALUE"""),"43 ЮЖН")</f>
        <v>43 ЮЖН</v>
      </c>
      <c r="AG440" t="str">
        <f ca="1">IFERROR(__xludf.DUMMYFUNCTION("""COMPUTED_VALUE"""),"44040 ХАРЬКОВ-ПАСС")</f>
        <v>44040 ХАРЬКОВ-ПАСС</v>
      </c>
      <c r="AH440" t="str">
        <f ca="1">IFERROR(__xludf.DUMMYFUNCTION("""COMPUTED_VALUE"""),"30.07.21 17-08")</f>
        <v>30.07.21 17-08</v>
      </c>
      <c r="AI440" s="21">
        <f ca="1">IFERROR(__xludf.DUMMYFUNCTION("""COMPUTED_VALUE"""),44420.3583449074)</f>
        <v>44420.358344907399</v>
      </c>
    </row>
    <row r="441" spans="1:35" ht="13" x14ac:dyDescent="0.15">
      <c r="A441">
        <f ca="1">IFERROR(__xludf.DUMMYFUNCTION("""COMPUTED_VALUE"""),1789)</f>
        <v>1789</v>
      </c>
      <c r="B441" t="str">
        <f ca="1">IFERROR(__xludf.DUMMYFUNCTION("""COMPUTED_VALUE"""),"Чужие")</f>
        <v>Чужие</v>
      </c>
      <c r="C441" t="str">
        <f ca="1">IFERROR(__xludf.DUMMYFUNCTION("""COMPUTED_VALUE"""),"Стиль")</f>
        <v>Стиль</v>
      </c>
      <c r="D441">
        <f ca="1">IFERROR(__xludf.DUMMYFUNCTION("""COMPUTED_VALUE"""),56348766)</f>
        <v>56348766</v>
      </c>
      <c r="E441" t="str">
        <f ca="1">IFERROR(__xludf.DUMMYFUNCTION("""COMPUTED_VALUE"""),"60 ПОЛУВАГОНЫ")</f>
        <v>60 ПОЛУВАГОНЫ</v>
      </c>
      <c r="F441">
        <f ca="1">IFERROR(__xludf.DUMMYFUNCTION("""COMPUTED_VALUE"""),42119)</f>
        <v>42119</v>
      </c>
      <c r="G441" t="str">
        <f ca="1">IFERROR(__xludf.DUMMYFUNCTION("""COMPUTED_VALUE"""),"ВАГОНЫ ЖД РЕМОН")</f>
        <v>ВАГОНЫ ЖД РЕМОН</v>
      </c>
      <c r="H441">
        <f ca="1">IFERROR(__xludf.DUMMYFUNCTION("""COMPUTED_VALUE"""),0)</f>
        <v>0</v>
      </c>
      <c r="I441">
        <f ca="1">IFERROR(__xludf.DUMMYFUNCTION("""COMPUTED_VALUE"""),5377)</f>
        <v>5377</v>
      </c>
      <c r="J441" t="str">
        <f ca="1">IFERROR(__xludf.DUMMYFUNCTION("""COMPUTED_VALUE"""),"2831 (44020-300-49000) ОСНОВА - ЛИМАН")</f>
        <v>2831 (44020-300-49000) ОСНОВА - ЛИМАН</v>
      </c>
      <c r="K441">
        <f ca="1">IFERROR(__xludf.DUMMYFUNCTION("""COMPUTED_VALUE"""),49005)</f>
        <v>49005</v>
      </c>
      <c r="L441" t="str">
        <f ca="1">IFERROR(__xludf.DUMMYFUNCTION("""COMPUTED_VALUE"""),"ФОРПОСТНАЯ")</f>
        <v>ФОРПОСТНАЯ</v>
      </c>
      <c r="M441" t="str">
        <f ca="1">IFERROR(__xludf.DUMMYFUNCTION("""COMPUTED_VALUE"""),"12.08.21 08-19")</f>
        <v>12.08.21 08-19</v>
      </c>
      <c r="N441" t="str">
        <f ca="1">IFERROR(__xludf.DUMMYFUNCTION("""COMPUTED_VALUE"""),"03 ПРОС")</f>
        <v>03 ПРОС</v>
      </c>
      <c r="O441">
        <f ca="1">IFERROR(__xludf.DUMMYFUNCTION("""COMPUTED_VALUE"""),49480)</f>
        <v>49480</v>
      </c>
      <c r="P441" t="str">
        <f ca="1">IFERROR(__xludf.DUMMYFUNCTION("""COMPUTED_VALUE"""),"СОЛЬ")</f>
        <v>СОЛЬ</v>
      </c>
      <c r="Q441">
        <f ca="1">IFERROR(__xludf.DUMMYFUNCTION("""COMPUTED_VALUE"""),44040)</f>
        <v>44040</v>
      </c>
      <c r="R441" t="str">
        <f ca="1">IFERROR(__xludf.DUMMYFUNCTION("""COMPUTED_VALUE"""),"ХАРЬКОВ-ПАСС")</f>
        <v>ХАРЬКОВ-ПАСС</v>
      </c>
      <c r="S441" t="str">
        <f ca="1">IFERROR(__xludf.DUMMYFUNCTION("""COMPUTED_VALUE"""),"09.08.21 17-00")</f>
        <v>09.08.21 17-00</v>
      </c>
      <c r="T441">
        <f ca="1">IFERROR(__xludf.DUMMYFUNCTION("""COMPUTED_VALUE"""),3616)</f>
        <v>3616</v>
      </c>
      <c r="U441" t="str">
        <f ca="1">IFERROR(__xludf.DUMMYFUNCTION("""COMPUTED_VALUE"""),"21.07.2023 ДР")</f>
        <v>21.07.2023 ДР</v>
      </c>
      <c r="Z441" t="str">
        <f ca="1">IFERROR(__xludf.DUMMYFUNCTION("""COMPUTED_VALUE"""),"ООО «СТИЛЬ-КЕПИТАЛ»")</f>
        <v>ООО «СТИЛЬ-КЕПИТАЛ»</v>
      </c>
      <c r="AA441" t="str">
        <f ca="1">IFERROR(__xludf.DUMMYFUNCTION("""COMPUTED_VALUE"""),"12-132")</f>
        <v>12-132</v>
      </c>
      <c r="AB441" t="str">
        <f ca="1">IFERROR(__xludf.DUMMYFUNCTION("""COMPUTED_VALUE"""),"43 ЮЖН")</f>
        <v>43 ЮЖН</v>
      </c>
      <c r="AC441" t="str">
        <f ca="1">IFERROR(__xludf.DUMMYFUNCTION("""COMPUTED_VALUE"""),"44040 ХАРЬКОВ-ПАСС")</f>
        <v>44040 ХАРЬКОВ-ПАСС</v>
      </c>
      <c r="AD441" t="str">
        <f ca="1">IFERROR(__xludf.DUMMYFUNCTION("""COMPUTED_VALUE"""),"30.06.21 20-06")</f>
        <v>30.06.21 20-06</v>
      </c>
      <c r="AE441" t="str">
        <f ca="1">IFERROR(__xludf.DUMMYFUNCTION("""COMPUTED_VALUE"""),"153 ИЗЛOМ/ИЗГИБ КPЫШКИ БУКCЫ")</f>
        <v>153 ИЗЛOМ/ИЗГИБ КPЫШКИ БУКCЫ</v>
      </c>
      <c r="AF441" t="str">
        <f ca="1">IFERROR(__xludf.DUMMYFUNCTION("""COMPUTED_VALUE"""),"43 ЮЖН")</f>
        <v>43 ЮЖН</v>
      </c>
      <c r="AG441" t="str">
        <f ca="1">IFERROR(__xludf.DUMMYFUNCTION("""COMPUTED_VALUE"""),"44040 ХАРЬКОВ-ПАСС")</f>
        <v>44040 ХАРЬКОВ-ПАСС</v>
      </c>
      <c r="AH441" t="str">
        <f ca="1">IFERROR(__xludf.DUMMYFUNCTION("""COMPUTED_VALUE"""),"30.07.21 17-00")</f>
        <v>30.07.21 17-00</v>
      </c>
      <c r="AI441" s="21">
        <f ca="1">IFERROR(__xludf.DUMMYFUNCTION("""COMPUTED_VALUE"""),44420.3583449074)</f>
        <v>44420.358344907399</v>
      </c>
    </row>
    <row r="442" spans="1:35" ht="13" x14ac:dyDescent="0.15">
      <c r="A442">
        <f ca="1">IFERROR(__xludf.DUMMYFUNCTION("""COMPUTED_VALUE"""),1790)</f>
        <v>1790</v>
      </c>
      <c r="B442" t="str">
        <f ca="1">IFERROR(__xludf.DUMMYFUNCTION("""COMPUTED_VALUE"""),"Техрейс")</f>
        <v>Техрейс</v>
      </c>
      <c r="C442" t="str">
        <f ca="1">IFERROR(__xludf.DUMMYFUNCTION("""COMPUTED_VALUE"""),"ЕУ-Транс")</f>
        <v>ЕУ-Транс</v>
      </c>
      <c r="D442">
        <f ca="1">IFERROR(__xludf.DUMMYFUNCTION("""COMPUTED_VALUE"""),56624604)</f>
        <v>56624604</v>
      </c>
      <c r="E442" t="str">
        <f ca="1">IFERROR(__xludf.DUMMYFUNCTION("""COMPUTED_VALUE"""),"60 ПОЛУВАГОНЫ")</f>
        <v>60 ПОЛУВАГОНЫ</v>
      </c>
      <c r="F442">
        <f ca="1">IFERROR(__xludf.DUMMYFUNCTION("""COMPUTED_VALUE"""),23107)</f>
        <v>23107</v>
      </c>
      <c r="G442" t="str">
        <f ca="1">IFERROR(__xludf.DUMMYFUNCTION("""COMPUTED_VALUE"""),"ПЕСОК СТРОИТ")</f>
        <v>ПЕСОК СТРОИТ</v>
      </c>
      <c r="H442">
        <f ca="1">IFERROR(__xludf.DUMMYFUNCTION("""COMPUTED_VALUE"""),68)</f>
        <v>68</v>
      </c>
      <c r="I442">
        <f ca="1">IFERROR(__xludf.DUMMYFUNCTION("""COMPUTED_VALUE"""),7544)</f>
        <v>7544</v>
      </c>
      <c r="J442" t="str">
        <f ca="1">IFERROR(__xludf.DUMMYFUNCTION("""COMPUTED_VALUE"""),"3730 (40510-371-41990) ОДЕССА-ЗАС I - ОДЕС-ЛИСКИ")</f>
        <v>3730 (40510-371-41990) ОДЕССА-ЗАС I - ОДЕС-ЛИСКИ</v>
      </c>
      <c r="K442">
        <f ca="1">IFERROR(__xludf.DUMMYFUNCTION("""COMPUTED_VALUE"""),41990)</f>
        <v>41990</v>
      </c>
      <c r="L442" t="str">
        <f ca="1">IFERROR(__xludf.DUMMYFUNCTION("""COMPUTED_VALUE"""),"ОДЕС-ЛИСКИ")</f>
        <v>ОДЕС-ЛИСКИ</v>
      </c>
      <c r="M442" t="str">
        <f ca="1">IFERROR(__xludf.DUMMYFUNCTION("""COMPUTED_VALUE"""),"12.08.21 05-35")</f>
        <v>12.08.21 05-35</v>
      </c>
      <c r="N442" t="str">
        <f ca="1">IFERROR(__xludf.DUMMYFUNCTION("""COMPUTED_VALUE"""),"04 РАСФ")</f>
        <v>04 РАСФ</v>
      </c>
      <c r="O442">
        <f ca="1">IFERROR(__xludf.DUMMYFUNCTION("""COMPUTED_VALUE"""),41990)</f>
        <v>41990</v>
      </c>
      <c r="P442" t="str">
        <f ca="1">IFERROR(__xludf.DUMMYFUNCTION("""COMPUTED_VALUE"""),"ОДЕС-ЛИСКИ")</f>
        <v>ОДЕС-ЛИСКИ</v>
      </c>
      <c r="Q442">
        <f ca="1">IFERROR(__xludf.DUMMYFUNCTION("""COMPUTED_VALUE"""),41310)</f>
        <v>41310</v>
      </c>
      <c r="R442" t="str">
        <f ca="1">IFERROR(__xludf.DUMMYFUNCTION("""COMPUTED_VALUE"""),"АЛЕКСАНДР")</f>
        <v>АЛЕКСАНДР</v>
      </c>
      <c r="S442" t="str">
        <f ca="1">IFERROR(__xludf.DUMMYFUNCTION("""COMPUTED_VALUE"""),"06.08.21 09-45")</f>
        <v>06.08.21 09-45</v>
      </c>
      <c r="T442">
        <f ca="1">IFERROR(__xludf.DUMMYFUNCTION("""COMPUTED_VALUE"""),4257)</f>
        <v>4257</v>
      </c>
      <c r="U442" t="str">
        <f ca="1">IFERROR(__xludf.DUMMYFUNCTION("""COMPUTED_VALUE"""),"23.03.2024 ТР-1")</f>
        <v>23.03.2024 ТР-1</v>
      </c>
      <c r="Z442" t="str">
        <f ca="1">IFERROR(__xludf.DUMMYFUNCTION("""COMPUTED_VALUE"""),"ООО ""ЕУ-ТРАНС""")</f>
        <v>ООО "ЕУ-ТРАНС"</v>
      </c>
      <c r="AA442" t="str">
        <f ca="1">IFERROR(__xludf.DUMMYFUNCTION("""COMPUTED_VALUE"""),"12-757")</f>
        <v>12-757</v>
      </c>
      <c r="AB442" t="str">
        <f ca="1">IFERROR(__xludf.DUMMYFUNCTION("""COMPUTED_VALUE"""),"40 ОД")</f>
        <v>40 ОД</v>
      </c>
      <c r="AC442" t="str">
        <f ca="1">IFERROR(__xludf.DUMMYFUNCTION("""COMPUTED_VALUE"""),"41190 ПОМОШНАЯ")</f>
        <v>41190 ПОМОШНАЯ</v>
      </c>
      <c r="AD442" t="str">
        <f ca="1">IFERROR(__xludf.DUMMYFUNCTION("""COMPUTED_VALUE"""),"29.07.21 10-01")</f>
        <v>29.07.21 10-01</v>
      </c>
      <c r="AE442" t="str">
        <f ca="1">IFERROR(__xludf.DUMMYFUNCTION("""COMPUTED_VALUE"""),"570 ИCТEК КAЛЕНДАРНЫЙ CPOК ДEПOВCКОГО PEМOНТA")</f>
        <v>570 ИCТEК КAЛЕНДАРНЫЙ CPOК ДEПOВCКОГО PEМOНТA</v>
      </c>
      <c r="AF442" t="str">
        <f ca="1">IFERROR(__xludf.DUMMYFUNCTION("""COMPUTED_VALUE"""),"40 ОД")</f>
        <v>40 ОД</v>
      </c>
      <c r="AG442" t="str">
        <f ca="1">IFERROR(__xludf.DUMMYFUNCTION("""COMPUTED_VALUE"""),"41190 ПОМОШНАЯ")</f>
        <v>41190 ПОМОШНАЯ</v>
      </c>
      <c r="AH442" t="str">
        <f ca="1">IFERROR(__xludf.DUMMYFUNCTION("""COMPUTED_VALUE"""),"31.07.21 09-00")</f>
        <v>31.07.21 09-00</v>
      </c>
      <c r="AI442" s="21">
        <f ca="1">IFERROR(__xludf.DUMMYFUNCTION("""COMPUTED_VALUE"""),44420.3583449074)</f>
        <v>44420.358344907399</v>
      </c>
    </row>
    <row r="443" spans="1:35" ht="13" x14ac:dyDescent="0.15">
      <c r="A443">
        <f ca="1">IFERROR(__xludf.DUMMYFUNCTION("""COMPUTED_VALUE"""),1791)</f>
        <v>1791</v>
      </c>
      <c r="B443" t="str">
        <f ca="1">IFERROR(__xludf.DUMMYFUNCTION("""COMPUTED_VALUE"""),"Чужие")</f>
        <v>Чужие</v>
      </c>
      <c r="C443" t="str">
        <f ca="1">IFERROR(__xludf.DUMMYFUNCTION("""COMPUTED_VALUE"""),"Е-ТРЕК")</f>
        <v>Е-ТРЕК</v>
      </c>
      <c r="D443">
        <f ca="1">IFERROR(__xludf.DUMMYFUNCTION("""COMPUTED_VALUE"""),56814437)</f>
        <v>56814437</v>
      </c>
      <c r="E443" t="str">
        <f ca="1">IFERROR(__xludf.DUMMYFUNCTION("""COMPUTED_VALUE"""),"60 ПОЛУВАГОНЫ")</f>
        <v>60 ПОЛУВАГОНЫ</v>
      </c>
      <c r="F443">
        <f ca="1">IFERROR(__xludf.DUMMYFUNCTION("""COMPUTED_VALUE"""),42103)</f>
        <v>42103</v>
      </c>
      <c r="G443" t="str">
        <f ca="1">IFERROR(__xludf.DUMMYFUNCTION("""COMPUTED_VALUE"""),"ВАГОНЫ ЖД СВ")</f>
        <v>ВАГОНЫ ЖД СВ</v>
      </c>
      <c r="H443">
        <f ca="1">IFERROR(__xludf.DUMMYFUNCTION("""COMPUTED_VALUE"""),0)</f>
        <v>0</v>
      </c>
      <c r="I443">
        <f ca="1">IFERROR(__xludf.DUMMYFUNCTION("""COMPUTED_VALUE"""),5377)</f>
        <v>5377</v>
      </c>
      <c r="J443" t="str">
        <f ca="1">IFERROR(__xludf.DUMMYFUNCTION("""COMPUTED_VALUE"""),"5555 (49000-778-00080) ЛИМАН -")</f>
        <v>5555 (49000-778-00080) ЛИМАН -</v>
      </c>
      <c r="K443">
        <f ca="1">IFERROR(__xludf.DUMMYFUNCTION("""COMPUTED_VALUE"""),49000)</f>
        <v>49000</v>
      </c>
      <c r="L443" t="str">
        <f ca="1">IFERROR(__xludf.DUMMYFUNCTION("""COMPUTED_VALUE"""),"ЛИМАН")</f>
        <v>ЛИМАН</v>
      </c>
      <c r="M443" t="str">
        <f ca="1">IFERROR(__xludf.DUMMYFUNCTION("""COMPUTED_VALUE"""),"12.08.21 06-24")</f>
        <v>12.08.21 06-24</v>
      </c>
      <c r="N443" t="str">
        <f ca="1">IFERROR(__xludf.DUMMYFUNCTION("""COMPUTED_VALUE"""),"04 РАСФ")</f>
        <v>04 РАСФ</v>
      </c>
      <c r="O443">
        <f ca="1">IFERROR(__xludf.DUMMYFUNCTION("""COMPUTED_VALUE"""),49480)</f>
        <v>49480</v>
      </c>
      <c r="P443" t="str">
        <f ca="1">IFERROR(__xludf.DUMMYFUNCTION("""COMPUTED_VALUE"""),"СОЛЬ")</f>
        <v>СОЛЬ</v>
      </c>
      <c r="Q443">
        <f ca="1">IFERROR(__xludf.DUMMYFUNCTION("""COMPUTED_VALUE"""),49000)</f>
        <v>49000</v>
      </c>
      <c r="R443" t="str">
        <f ca="1">IFERROR(__xludf.DUMMYFUNCTION("""COMPUTED_VALUE"""),"ЛИМАН")</f>
        <v>ЛИМАН</v>
      </c>
      <c r="S443" t="str">
        <f ca="1">IFERROR(__xludf.DUMMYFUNCTION("""COMPUTED_VALUE"""),"11.08.21 14-10")</f>
        <v>11.08.21 14-10</v>
      </c>
      <c r="T443">
        <f ca="1">IFERROR(__xludf.DUMMYFUNCTION("""COMPUTED_VALUE"""),3265)</f>
        <v>3265</v>
      </c>
      <c r="U443" t="str">
        <f ca="1">IFERROR(__xludf.DUMMYFUNCTION("""COMPUTED_VALUE"""),"04.09.2021 ДР")</f>
        <v>04.09.2021 ДР</v>
      </c>
      <c r="Z443" t="str">
        <f ca="1">IFERROR(__xludf.DUMMYFUNCTION("""COMPUTED_VALUE"""),"ООО «Э-ТРЭК»")</f>
        <v>ООО «Э-ТРЭК»</v>
      </c>
      <c r="AA443" t="str">
        <f ca="1">IFERROR(__xludf.DUMMYFUNCTION("""COMPUTED_VALUE"""),"12-119")</f>
        <v>12-119</v>
      </c>
      <c r="AB443" t="str">
        <f ca="1">IFERROR(__xludf.DUMMYFUNCTION("""COMPUTED_VALUE"""),"32 Ю-ЗАП")</f>
        <v>32 Ю-ЗАП</v>
      </c>
      <c r="AC443" t="str">
        <f ca="1">IFERROR(__xludf.DUMMYFUNCTION("""COMPUTED_VALUE"""),"34680 ОВРУЧ")</f>
        <v>34680 ОВРУЧ</v>
      </c>
      <c r="AD443" t="str">
        <f ca="1">IFERROR(__xludf.DUMMYFUNCTION("""COMPUTED_VALUE"""),"06.02.21 10-30")</f>
        <v>06.02.21 10-30</v>
      </c>
      <c r="AE443" t="str">
        <f ca="1">IFERROR(__xludf.DUMMYFUNCTION("""COMPUTED_VALUE"""),"540 НEИCПPAВНOCТЬ ЗAПOPA ЛЮКA")</f>
        <v>540 НEИCПPAВНOCТЬ ЗAПOPA ЛЮКA</v>
      </c>
      <c r="AF443" t="str">
        <f ca="1">IFERROR(__xludf.DUMMYFUNCTION("""COMPUTED_VALUE"""),"32 Ю-ЗАП")</f>
        <v>32 Ю-ЗАП</v>
      </c>
      <c r="AG443" t="str">
        <f ca="1">IFERROR(__xludf.DUMMYFUNCTION("""COMPUTED_VALUE"""),"34680 ОВРУЧ")</f>
        <v>34680 ОВРУЧ</v>
      </c>
      <c r="AH443" t="str">
        <f ca="1">IFERROR(__xludf.DUMMYFUNCTION("""COMPUTED_VALUE"""),"07.02.21 12-00")</f>
        <v>07.02.21 12-00</v>
      </c>
      <c r="AI443" s="21">
        <f ca="1">IFERROR(__xludf.DUMMYFUNCTION("""COMPUTED_VALUE"""),44420.6473032407)</f>
        <v>44420.647303240701</v>
      </c>
    </row>
  </sheetData>
  <autoFilter ref="A3:AS204" xr:uid="{00000000-0009-0000-0000-000001000000}">
    <sortState xmlns:xlrd2="http://schemas.microsoft.com/office/spreadsheetml/2017/richdata2" ref="A3:AS204">
      <sortCondition ref="A3:A204"/>
    </sortState>
  </autoFilter>
  <mergeCells count="6">
    <mergeCell ref="AF1:AH1"/>
    <mergeCell ref="F1:I1"/>
    <mergeCell ref="J1:N1"/>
    <mergeCell ref="O1:T1"/>
    <mergeCell ref="V1:Y1"/>
    <mergeCell ref="AB1:AE1"/>
  </mergeCells>
  <conditionalFormatting sqref="E4:E1003">
    <cfRule type="expression" dxfId="1" priority="1">
      <formula>IF(VALUE(SUBSTITUTE($AD4:$AD1003, "-",":")) &gt; VALUE(SUBSTITUTE($AH4:$AH1003, "-",":")),"Да","Нет")="Да"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D974"/>
  <sheetViews>
    <sheetView tabSelected="1" workbookViewId="0">
      <pane ySplit="2" topLeftCell="A3" activePane="bottomLeft" state="frozen"/>
      <selection pane="bottomLeft" activeCell="C24" sqref="C24"/>
    </sheetView>
  </sheetViews>
  <sheetFormatPr baseColWidth="10" defaultColWidth="14.5" defaultRowHeight="15.75" customHeight="1" x14ac:dyDescent="0.15"/>
  <cols>
    <col min="1" max="1" width="5.33203125" customWidth="1"/>
    <col min="2" max="2" width="27.6640625" customWidth="1"/>
    <col min="3" max="3" width="28" customWidth="1"/>
    <col min="4" max="4" width="18.83203125" customWidth="1"/>
    <col min="13" max="13" width="4.83203125" customWidth="1"/>
  </cols>
  <sheetData>
    <row r="1" spans="1:4" ht="15.75" customHeight="1" x14ac:dyDescent="0.15">
      <c r="A1" s="22" t="s">
        <v>6</v>
      </c>
      <c r="B1" s="23" t="s">
        <v>7</v>
      </c>
      <c r="C1" s="23" t="s">
        <v>8</v>
      </c>
      <c r="D1" s="23" t="s">
        <v>9</v>
      </c>
    </row>
    <row r="2" spans="1:4" ht="15.75" customHeight="1" x14ac:dyDescent="0.15">
      <c r="A2" s="24">
        <v>1</v>
      </c>
      <c r="B2" s="25">
        <v>2</v>
      </c>
      <c r="C2" s="25">
        <v>3</v>
      </c>
      <c r="D2" s="25">
        <v>4</v>
      </c>
    </row>
    <row r="3" spans="1:4" ht="13" x14ac:dyDescent="0.15">
      <c r="A3" s="18"/>
      <c r="B3" s="18"/>
      <c r="C3" s="18"/>
      <c r="D3" s="18"/>
    </row>
    <row r="4" spans="1:4" ht="13" x14ac:dyDescent="0.15">
      <c r="A4" s="18"/>
      <c r="B4" s="18"/>
      <c r="C4" s="18"/>
      <c r="D4" s="18"/>
    </row>
    <row r="5" spans="1:4" ht="13" x14ac:dyDescent="0.15">
      <c r="A5" s="18"/>
      <c r="B5" s="18"/>
      <c r="C5" s="18"/>
      <c r="D5" s="18"/>
    </row>
    <row r="6" spans="1:4" ht="13" x14ac:dyDescent="0.15">
      <c r="A6" s="18"/>
      <c r="B6" s="18"/>
      <c r="C6" s="18"/>
      <c r="D6" s="18"/>
    </row>
    <row r="7" spans="1:4" ht="13" x14ac:dyDescent="0.15">
      <c r="A7" s="18"/>
      <c r="B7" s="18"/>
      <c r="C7" s="18"/>
      <c r="D7" s="18"/>
    </row>
    <row r="8" spans="1:4" ht="13" x14ac:dyDescent="0.15">
      <c r="A8" s="18"/>
      <c r="B8" s="18"/>
      <c r="C8" s="18"/>
      <c r="D8" s="18"/>
    </row>
    <row r="9" spans="1:4" ht="13" x14ac:dyDescent="0.15">
      <c r="A9" s="18"/>
      <c r="B9" s="18"/>
      <c r="C9" s="18"/>
      <c r="D9" s="18"/>
    </row>
    <row r="10" spans="1:4" ht="13" x14ac:dyDescent="0.15">
      <c r="A10" s="18"/>
      <c r="B10" s="18"/>
      <c r="C10" s="18"/>
      <c r="D10" s="18"/>
    </row>
    <row r="11" spans="1:4" ht="13" x14ac:dyDescent="0.15">
      <c r="A11" s="18"/>
      <c r="B11" s="18"/>
      <c r="C11" s="18"/>
      <c r="D11" s="18"/>
    </row>
    <row r="12" spans="1:4" ht="13" x14ac:dyDescent="0.15">
      <c r="A12" s="18"/>
      <c r="B12" s="18"/>
      <c r="C12" s="18"/>
      <c r="D12" s="18"/>
    </row>
    <row r="13" spans="1:4" ht="13" x14ac:dyDescent="0.15">
      <c r="A13" s="18"/>
      <c r="B13" s="18"/>
      <c r="C13" s="18"/>
      <c r="D13" s="18"/>
    </row>
    <row r="14" spans="1:4" ht="13" x14ac:dyDescent="0.15">
      <c r="A14" s="18"/>
      <c r="B14" s="18"/>
      <c r="C14" s="18"/>
      <c r="D14" s="18"/>
    </row>
    <row r="15" spans="1:4" ht="13" x14ac:dyDescent="0.15">
      <c r="A15" s="18"/>
      <c r="B15" s="18"/>
      <c r="C15" s="18"/>
      <c r="D15" s="18"/>
    </row>
    <row r="16" spans="1:4" ht="13" x14ac:dyDescent="0.15">
      <c r="A16" s="18"/>
      <c r="B16" s="18"/>
      <c r="C16" s="18"/>
      <c r="D16" s="18"/>
    </row>
    <row r="17" spans="1:4" ht="13" x14ac:dyDescent="0.15">
      <c r="A17" s="18"/>
      <c r="B17" s="18"/>
      <c r="C17" s="18"/>
      <c r="D17" s="18"/>
    </row>
    <row r="18" spans="1:4" ht="13" x14ac:dyDescent="0.15">
      <c r="A18" s="18"/>
      <c r="B18" s="18"/>
      <c r="C18" s="18"/>
      <c r="D18" s="18"/>
    </row>
    <row r="19" spans="1:4" ht="13" x14ac:dyDescent="0.15">
      <c r="A19" s="18"/>
      <c r="B19" s="18"/>
      <c r="C19" s="18"/>
      <c r="D19" s="18"/>
    </row>
    <row r="20" spans="1:4" ht="13" x14ac:dyDescent="0.15">
      <c r="A20" s="18"/>
      <c r="B20" s="18"/>
      <c r="C20" s="18"/>
      <c r="D20" s="18"/>
    </row>
    <row r="21" spans="1:4" ht="13" x14ac:dyDescent="0.15">
      <c r="A21" s="18"/>
      <c r="B21" s="18"/>
      <c r="C21" s="18"/>
      <c r="D21" s="18"/>
    </row>
    <row r="22" spans="1:4" ht="13" x14ac:dyDescent="0.15">
      <c r="A22" s="18"/>
      <c r="B22" s="18"/>
      <c r="C22" s="18"/>
      <c r="D22" s="18"/>
    </row>
    <row r="23" spans="1:4" ht="13" x14ac:dyDescent="0.15">
      <c r="A23" s="18"/>
      <c r="B23" s="18"/>
      <c r="C23" s="18"/>
      <c r="D23" s="18"/>
    </row>
    <row r="24" spans="1:4" ht="13" x14ac:dyDescent="0.15">
      <c r="A24" s="18"/>
      <c r="B24" s="18"/>
      <c r="C24" s="18"/>
      <c r="D24" s="18"/>
    </row>
    <row r="25" spans="1:4" ht="13" x14ac:dyDescent="0.15">
      <c r="A25" s="18"/>
      <c r="B25" s="18"/>
      <c r="C25" s="18"/>
      <c r="D25" s="18"/>
    </row>
    <row r="26" spans="1:4" ht="13" x14ac:dyDescent="0.15">
      <c r="A26" s="18"/>
      <c r="B26" s="18"/>
      <c r="C26" s="18"/>
      <c r="D26" s="18"/>
    </row>
    <row r="27" spans="1:4" ht="13" x14ac:dyDescent="0.15">
      <c r="A27" s="18"/>
      <c r="B27" s="18"/>
      <c r="C27" s="18"/>
      <c r="D27" s="18"/>
    </row>
    <row r="28" spans="1:4" ht="13" x14ac:dyDescent="0.15">
      <c r="A28" s="18"/>
      <c r="B28" s="18"/>
      <c r="C28" s="18"/>
      <c r="D28" s="18"/>
    </row>
    <row r="29" spans="1:4" ht="13" x14ac:dyDescent="0.15">
      <c r="A29" s="18"/>
      <c r="B29" s="18"/>
      <c r="C29" s="18"/>
      <c r="D29" s="18"/>
    </row>
    <row r="30" spans="1:4" ht="13" x14ac:dyDescent="0.15">
      <c r="A30" s="18"/>
      <c r="B30" s="18"/>
      <c r="C30" s="18"/>
      <c r="D30" s="18"/>
    </row>
    <row r="31" spans="1:4" ht="13" x14ac:dyDescent="0.15">
      <c r="A31" s="18"/>
      <c r="B31" s="18"/>
      <c r="C31" s="18"/>
      <c r="D31" s="18"/>
    </row>
    <row r="32" spans="1:4" ht="13" x14ac:dyDescent="0.15">
      <c r="A32" s="18"/>
      <c r="B32" s="18"/>
      <c r="C32" s="18"/>
      <c r="D32" s="18"/>
    </row>
    <row r="33" spans="1:4" ht="13" x14ac:dyDescent="0.15">
      <c r="A33" s="18"/>
      <c r="B33" s="18"/>
      <c r="C33" s="18"/>
      <c r="D33" s="18"/>
    </row>
    <row r="34" spans="1:4" ht="13" x14ac:dyDescent="0.15">
      <c r="A34" s="18"/>
      <c r="B34" s="18"/>
      <c r="C34" s="18"/>
      <c r="D34" s="18"/>
    </row>
    <row r="35" spans="1:4" ht="13" x14ac:dyDescent="0.15">
      <c r="A35" s="18"/>
      <c r="B35" s="18"/>
      <c r="C35" s="18"/>
      <c r="D35" s="18"/>
    </row>
    <row r="36" spans="1:4" ht="13" x14ac:dyDescent="0.15">
      <c r="A36" s="18"/>
      <c r="B36" s="18"/>
      <c r="C36" s="18"/>
      <c r="D36" s="18"/>
    </row>
    <row r="37" spans="1:4" ht="13" x14ac:dyDescent="0.15">
      <c r="A37" s="18"/>
      <c r="B37" s="18"/>
      <c r="C37" s="18"/>
      <c r="D37" s="18"/>
    </row>
    <row r="38" spans="1:4" ht="13" x14ac:dyDescent="0.15">
      <c r="A38" s="18"/>
      <c r="B38" s="18"/>
      <c r="C38" s="18"/>
      <c r="D38" s="18"/>
    </row>
    <row r="39" spans="1:4" ht="13" x14ac:dyDescent="0.15">
      <c r="A39" s="18"/>
      <c r="B39" s="18"/>
      <c r="C39" s="18"/>
      <c r="D39" s="18"/>
    </row>
    <row r="40" spans="1:4" ht="13" x14ac:dyDescent="0.15">
      <c r="A40" s="18"/>
      <c r="B40" s="18"/>
      <c r="C40" s="18"/>
      <c r="D40" s="18"/>
    </row>
    <row r="41" spans="1:4" ht="13" x14ac:dyDescent="0.15">
      <c r="A41" s="18"/>
      <c r="B41" s="18"/>
      <c r="C41" s="18"/>
      <c r="D41" s="18"/>
    </row>
    <row r="42" spans="1:4" ht="13" x14ac:dyDescent="0.15">
      <c r="A42" s="18"/>
      <c r="B42" s="18"/>
      <c r="C42" s="18"/>
      <c r="D42" s="18"/>
    </row>
    <row r="43" spans="1:4" ht="13" x14ac:dyDescent="0.15">
      <c r="A43" s="18"/>
      <c r="B43" s="18"/>
      <c r="C43" s="18"/>
      <c r="D43" s="18"/>
    </row>
    <row r="44" spans="1:4" ht="13" x14ac:dyDescent="0.15">
      <c r="A44" s="18"/>
      <c r="B44" s="18"/>
      <c r="C44" s="18"/>
      <c r="D44" s="18"/>
    </row>
    <row r="45" spans="1:4" ht="13" x14ac:dyDescent="0.15">
      <c r="A45" s="18"/>
      <c r="B45" s="18"/>
      <c r="C45" s="18"/>
      <c r="D45" s="18"/>
    </row>
    <row r="46" spans="1:4" ht="13" x14ac:dyDescent="0.15">
      <c r="A46" s="18"/>
      <c r="B46" s="18"/>
      <c r="C46" s="18"/>
      <c r="D46" s="18"/>
    </row>
    <row r="47" spans="1:4" ht="13" x14ac:dyDescent="0.15">
      <c r="A47" s="18"/>
      <c r="B47" s="18"/>
      <c r="C47" s="18"/>
      <c r="D47" s="18"/>
    </row>
    <row r="48" spans="1:4" ht="13" x14ac:dyDescent="0.15">
      <c r="A48" s="18"/>
      <c r="B48" s="18"/>
      <c r="C48" s="18"/>
      <c r="D48" s="18"/>
    </row>
    <row r="49" spans="1:4" ht="13" x14ac:dyDescent="0.15">
      <c r="A49" s="18"/>
      <c r="B49" s="18"/>
      <c r="C49" s="18"/>
      <c r="D49" s="18"/>
    </row>
    <row r="50" spans="1:4" ht="13" x14ac:dyDescent="0.15">
      <c r="A50" s="18"/>
      <c r="B50" s="18"/>
      <c r="C50" s="18"/>
      <c r="D50" s="18"/>
    </row>
    <row r="51" spans="1:4" ht="13" x14ac:dyDescent="0.15">
      <c r="A51" s="18"/>
      <c r="B51" s="18"/>
      <c r="C51" s="18"/>
      <c r="D51" s="18"/>
    </row>
    <row r="52" spans="1:4" ht="13" x14ac:dyDescent="0.15">
      <c r="A52" s="18"/>
      <c r="B52" s="18"/>
      <c r="C52" s="18"/>
      <c r="D52" s="18"/>
    </row>
    <row r="53" spans="1:4" ht="13" x14ac:dyDescent="0.15">
      <c r="A53" s="18"/>
      <c r="B53" s="18"/>
      <c r="C53" s="18"/>
      <c r="D53" s="18"/>
    </row>
    <row r="54" spans="1:4" ht="13" x14ac:dyDescent="0.15">
      <c r="A54" s="18"/>
      <c r="B54" s="18"/>
      <c r="C54" s="18"/>
      <c r="D54" s="18"/>
    </row>
    <row r="55" spans="1:4" ht="13" x14ac:dyDescent="0.15">
      <c r="A55" s="18"/>
      <c r="B55" s="18"/>
      <c r="C55" s="18"/>
      <c r="D55" s="18"/>
    </row>
    <row r="56" spans="1:4" ht="13" x14ac:dyDescent="0.15">
      <c r="A56" s="18"/>
      <c r="B56" s="18"/>
      <c r="C56" s="18"/>
      <c r="D56" s="18"/>
    </row>
    <row r="57" spans="1:4" ht="13" x14ac:dyDescent="0.15">
      <c r="A57" s="18"/>
      <c r="B57" s="18"/>
      <c r="C57" s="18"/>
      <c r="D57" s="18"/>
    </row>
    <row r="58" spans="1:4" ht="13" x14ac:dyDescent="0.15">
      <c r="A58" s="18"/>
      <c r="B58" s="18"/>
      <c r="C58" s="18"/>
      <c r="D58" s="18"/>
    </row>
    <row r="59" spans="1:4" ht="13" x14ac:dyDescent="0.15">
      <c r="A59" s="18"/>
      <c r="B59" s="18"/>
      <c r="C59" s="18"/>
      <c r="D59" s="18"/>
    </row>
    <row r="60" spans="1:4" ht="13" x14ac:dyDescent="0.15">
      <c r="A60" s="18"/>
      <c r="B60" s="18"/>
      <c r="C60" s="18"/>
      <c r="D60" s="18"/>
    </row>
    <row r="61" spans="1:4" ht="13" x14ac:dyDescent="0.15">
      <c r="A61" s="18"/>
      <c r="B61" s="18"/>
      <c r="C61" s="18"/>
      <c r="D61" s="18"/>
    </row>
    <row r="62" spans="1:4" ht="13" x14ac:dyDescent="0.15">
      <c r="A62" s="18"/>
      <c r="B62" s="18"/>
      <c r="C62" s="18"/>
      <c r="D62" s="18"/>
    </row>
    <row r="63" spans="1:4" ht="13" x14ac:dyDescent="0.15">
      <c r="A63" s="18"/>
      <c r="B63" s="18"/>
      <c r="C63" s="18"/>
      <c r="D63" s="18"/>
    </row>
    <row r="64" spans="1:4" ht="13" x14ac:dyDescent="0.15">
      <c r="A64" s="18"/>
      <c r="B64" s="18"/>
      <c r="C64" s="18"/>
      <c r="D64" s="18"/>
    </row>
    <row r="65" spans="1:4" ht="13" x14ac:dyDescent="0.15">
      <c r="A65" s="18"/>
      <c r="B65" s="18"/>
      <c r="C65" s="18"/>
      <c r="D65" s="18"/>
    </row>
    <row r="66" spans="1:4" ht="13" x14ac:dyDescent="0.15">
      <c r="A66" s="18"/>
      <c r="B66" s="18"/>
      <c r="C66" s="18"/>
      <c r="D66" s="18"/>
    </row>
    <row r="67" spans="1:4" ht="13" x14ac:dyDescent="0.15">
      <c r="A67" s="18"/>
      <c r="B67" s="18"/>
      <c r="C67" s="18"/>
      <c r="D67" s="18"/>
    </row>
    <row r="68" spans="1:4" ht="13" x14ac:dyDescent="0.15">
      <c r="A68" s="18"/>
      <c r="B68" s="18"/>
      <c r="C68" s="18"/>
      <c r="D68" s="18"/>
    </row>
    <row r="69" spans="1:4" ht="13" x14ac:dyDescent="0.15">
      <c r="A69" s="18"/>
      <c r="B69" s="18"/>
      <c r="C69" s="18"/>
      <c r="D69" s="18"/>
    </row>
    <row r="70" spans="1:4" ht="13" x14ac:dyDescent="0.15">
      <c r="A70" s="18"/>
      <c r="B70" s="18"/>
      <c r="C70" s="18"/>
      <c r="D70" s="18"/>
    </row>
    <row r="71" spans="1:4" ht="13" x14ac:dyDescent="0.15">
      <c r="A71" s="18"/>
      <c r="B71" s="18"/>
      <c r="C71" s="18"/>
      <c r="D71" s="18"/>
    </row>
    <row r="72" spans="1:4" ht="13" x14ac:dyDescent="0.15">
      <c r="A72" s="18"/>
      <c r="B72" s="18"/>
      <c r="C72" s="18"/>
      <c r="D72" s="18"/>
    </row>
    <row r="73" spans="1:4" ht="13" x14ac:dyDescent="0.15">
      <c r="A73" s="18"/>
      <c r="B73" s="18"/>
      <c r="C73" s="18"/>
      <c r="D73" s="18"/>
    </row>
    <row r="74" spans="1:4" ht="13" x14ac:dyDescent="0.15">
      <c r="A74" s="18"/>
      <c r="B74" s="18"/>
      <c r="C74" s="18"/>
      <c r="D74" s="18"/>
    </row>
    <row r="75" spans="1:4" ht="13" x14ac:dyDescent="0.15">
      <c r="A75" s="18"/>
      <c r="B75" s="18"/>
      <c r="C75" s="18"/>
      <c r="D75" s="18"/>
    </row>
    <row r="76" spans="1:4" ht="13" x14ac:dyDescent="0.15">
      <c r="A76" s="18"/>
      <c r="B76" s="18"/>
      <c r="C76" s="18"/>
      <c r="D76" s="18"/>
    </row>
    <row r="77" spans="1:4" ht="13" x14ac:dyDescent="0.15">
      <c r="A77" s="18"/>
      <c r="B77" s="18"/>
      <c r="C77" s="18"/>
      <c r="D77" s="18"/>
    </row>
    <row r="78" spans="1:4" ht="13" x14ac:dyDescent="0.15">
      <c r="A78" s="18"/>
      <c r="B78" s="18"/>
      <c r="C78" s="18"/>
      <c r="D78" s="18"/>
    </row>
    <row r="79" spans="1:4" ht="13" x14ac:dyDescent="0.15">
      <c r="A79" s="18"/>
      <c r="B79" s="18"/>
      <c r="C79" s="18"/>
      <c r="D79" s="18"/>
    </row>
    <row r="80" spans="1:4" ht="13" x14ac:dyDescent="0.15">
      <c r="A80" s="18"/>
      <c r="B80" s="18"/>
      <c r="C80" s="18"/>
      <c r="D80" s="18"/>
    </row>
    <row r="81" spans="1:4" ht="13" x14ac:dyDescent="0.15">
      <c r="A81" s="18"/>
      <c r="B81" s="18"/>
      <c r="C81" s="18"/>
      <c r="D81" s="18"/>
    </row>
    <row r="82" spans="1:4" ht="13" x14ac:dyDescent="0.15">
      <c r="A82" s="18"/>
      <c r="B82" s="18"/>
      <c r="C82" s="18"/>
      <c r="D82" s="18"/>
    </row>
    <row r="83" spans="1:4" ht="13" x14ac:dyDescent="0.15">
      <c r="A83" s="18"/>
      <c r="B83" s="18"/>
      <c r="C83" s="18"/>
      <c r="D83" s="18"/>
    </row>
    <row r="84" spans="1:4" ht="13" x14ac:dyDescent="0.15">
      <c r="A84" s="18"/>
      <c r="B84" s="18"/>
      <c r="C84" s="18"/>
      <c r="D84" s="18"/>
    </row>
    <row r="85" spans="1:4" ht="13" x14ac:dyDescent="0.15">
      <c r="A85" s="18"/>
      <c r="B85" s="18"/>
      <c r="C85" s="18"/>
      <c r="D85" s="18"/>
    </row>
    <row r="86" spans="1:4" ht="13" x14ac:dyDescent="0.15">
      <c r="A86" s="18"/>
      <c r="B86" s="18"/>
      <c r="C86" s="18"/>
      <c r="D86" s="18"/>
    </row>
    <row r="87" spans="1:4" ht="13" x14ac:dyDescent="0.15">
      <c r="A87" s="18"/>
      <c r="B87" s="18"/>
      <c r="C87" s="18"/>
      <c r="D87" s="18"/>
    </row>
    <row r="88" spans="1:4" ht="13" x14ac:dyDescent="0.15">
      <c r="A88" s="18"/>
      <c r="B88" s="18"/>
      <c r="C88" s="18"/>
      <c r="D88" s="18"/>
    </row>
    <row r="89" spans="1:4" ht="13" x14ac:dyDescent="0.15">
      <c r="A89" s="18"/>
      <c r="B89" s="18"/>
      <c r="C89" s="18"/>
      <c r="D89" s="18"/>
    </row>
    <row r="90" spans="1:4" ht="13" x14ac:dyDescent="0.15">
      <c r="A90" s="18"/>
      <c r="B90" s="18"/>
      <c r="C90" s="18"/>
      <c r="D90" s="18"/>
    </row>
    <row r="91" spans="1:4" ht="13" x14ac:dyDescent="0.15">
      <c r="A91" s="18"/>
      <c r="B91" s="18"/>
      <c r="C91" s="18"/>
      <c r="D91" s="18"/>
    </row>
    <row r="92" spans="1:4" ht="13" x14ac:dyDescent="0.15">
      <c r="A92" s="18"/>
      <c r="B92" s="18"/>
      <c r="C92" s="18"/>
      <c r="D92" s="18"/>
    </row>
    <row r="93" spans="1:4" ht="13" x14ac:dyDescent="0.15">
      <c r="A93" s="18"/>
      <c r="B93" s="18"/>
      <c r="C93" s="18"/>
      <c r="D93" s="18"/>
    </row>
    <row r="94" spans="1:4" ht="13" x14ac:dyDescent="0.15">
      <c r="A94" s="18"/>
      <c r="B94" s="18"/>
      <c r="C94" s="18"/>
      <c r="D94" s="18"/>
    </row>
    <row r="95" spans="1:4" ht="13" x14ac:dyDescent="0.15">
      <c r="A95" s="18"/>
      <c r="B95" s="18"/>
      <c r="C95" s="18"/>
      <c r="D95" s="18"/>
    </row>
    <row r="96" spans="1:4" ht="13" x14ac:dyDescent="0.15">
      <c r="A96" s="18"/>
      <c r="B96" s="18"/>
      <c r="C96" s="18"/>
      <c r="D96" s="18"/>
    </row>
    <row r="97" spans="1:4" ht="13" x14ac:dyDescent="0.15">
      <c r="A97" s="18"/>
      <c r="B97" s="18"/>
      <c r="C97" s="18"/>
      <c r="D97" s="18"/>
    </row>
    <row r="98" spans="1:4" ht="13" x14ac:dyDescent="0.15">
      <c r="A98" s="18"/>
      <c r="B98" s="18"/>
      <c r="C98" s="18"/>
      <c r="D98" s="18"/>
    </row>
    <row r="99" spans="1:4" ht="13" x14ac:dyDescent="0.15">
      <c r="A99" s="18"/>
      <c r="B99" s="18"/>
      <c r="C99" s="18"/>
      <c r="D99" s="18"/>
    </row>
    <row r="100" spans="1:4" ht="13" x14ac:dyDescent="0.15">
      <c r="A100" s="18"/>
      <c r="B100" s="18"/>
      <c r="C100" s="18"/>
      <c r="D100" s="18"/>
    </row>
    <row r="101" spans="1:4" ht="13" x14ac:dyDescent="0.15">
      <c r="A101" s="18"/>
      <c r="B101" s="18"/>
      <c r="C101" s="18"/>
      <c r="D101" s="18"/>
    </row>
    <row r="102" spans="1:4" ht="13" x14ac:dyDescent="0.15">
      <c r="A102" s="18"/>
      <c r="B102" s="18"/>
      <c r="C102" s="18"/>
      <c r="D102" s="18"/>
    </row>
    <row r="103" spans="1:4" ht="13" x14ac:dyDescent="0.15">
      <c r="A103" s="18"/>
      <c r="B103" s="18"/>
      <c r="C103" s="18"/>
      <c r="D103" s="18"/>
    </row>
    <row r="104" spans="1:4" ht="13" x14ac:dyDescent="0.15">
      <c r="A104" s="18"/>
      <c r="B104" s="18"/>
      <c r="C104" s="18"/>
      <c r="D104" s="18"/>
    </row>
    <row r="105" spans="1:4" ht="13" x14ac:dyDescent="0.15">
      <c r="A105" s="18"/>
      <c r="B105" s="18"/>
      <c r="C105" s="18"/>
      <c r="D105" s="18"/>
    </row>
    <row r="106" spans="1:4" ht="13" x14ac:dyDescent="0.15">
      <c r="A106" s="18"/>
      <c r="B106" s="18"/>
      <c r="C106" s="18"/>
      <c r="D106" s="18"/>
    </row>
    <row r="107" spans="1:4" ht="13" x14ac:dyDescent="0.15">
      <c r="A107" s="18"/>
      <c r="B107" s="18"/>
      <c r="C107" s="18"/>
      <c r="D107" s="18"/>
    </row>
    <row r="108" spans="1:4" ht="13" x14ac:dyDescent="0.15">
      <c r="A108" s="18"/>
      <c r="B108" s="18"/>
      <c r="C108" s="18"/>
      <c r="D108" s="18"/>
    </row>
    <row r="109" spans="1:4" ht="13" x14ac:dyDescent="0.15">
      <c r="A109" s="18"/>
      <c r="B109" s="18"/>
      <c r="C109" s="18"/>
      <c r="D109" s="18"/>
    </row>
    <row r="110" spans="1:4" ht="13" x14ac:dyDescent="0.15">
      <c r="A110" s="18"/>
      <c r="B110" s="18"/>
      <c r="C110" s="18"/>
      <c r="D110" s="18"/>
    </row>
    <row r="111" spans="1:4" ht="13" x14ac:dyDescent="0.15">
      <c r="A111" s="18"/>
      <c r="B111" s="18"/>
      <c r="C111" s="18"/>
      <c r="D111" s="18"/>
    </row>
    <row r="112" spans="1:4" ht="13" x14ac:dyDescent="0.15">
      <c r="A112" s="18"/>
      <c r="B112" s="18"/>
      <c r="C112" s="18"/>
      <c r="D112" s="18"/>
    </row>
    <row r="113" spans="1:4" ht="13" x14ac:dyDescent="0.15">
      <c r="A113" s="18"/>
      <c r="B113" s="18"/>
      <c r="C113" s="18"/>
      <c r="D113" s="18"/>
    </row>
    <row r="114" spans="1:4" ht="13" x14ac:dyDescent="0.15">
      <c r="A114" s="18"/>
      <c r="B114" s="18"/>
      <c r="C114" s="18"/>
      <c r="D114" s="18"/>
    </row>
    <row r="115" spans="1:4" ht="13" x14ac:dyDescent="0.15">
      <c r="A115" s="18"/>
      <c r="B115" s="18"/>
      <c r="C115" s="18"/>
      <c r="D115" s="18"/>
    </row>
    <row r="116" spans="1:4" ht="13" x14ac:dyDescent="0.15">
      <c r="A116" s="18"/>
      <c r="B116" s="18"/>
      <c r="C116" s="18"/>
      <c r="D116" s="18"/>
    </row>
    <row r="117" spans="1:4" ht="13" x14ac:dyDescent="0.15">
      <c r="A117" s="18"/>
      <c r="B117" s="18"/>
      <c r="C117" s="18"/>
      <c r="D117" s="18"/>
    </row>
    <row r="118" spans="1:4" ht="13" x14ac:dyDescent="0.15">
      <c r="A118" s="18"/>
      <c r="B118" s="18"/>
      <c r="C118" s="18"/>
      <c r="D118" s="18"/>
    </row>
    <row r="119" spans="1:4" ht="13" x14ac:dyDescent="0.15">
      <c r="A119" s="18"/>
      <c r="B119" s="18"/>
      <c r="C119" s="18"/>
      <c r="D119" s="18"/>
    </row>
    <row r="120" spans="1:4" ht="13" x14ac:dyDescent="0.15">
      <c r="A120" s="18"/>
      <c r="B120" s="18"/>
      <c r="C120" s="18"/>
      <c r="D120" s="18"/>
    </row>
    <row r="121" spans="1:4" ht="13" x14ac:dyDescent="0.15">
      <c r="A121" s="18"/>
      <c r="B121" s="18"/>
      <c r="C121" s="18"/>
      <c r="D121" s="18"/>
    </row>
    <row r="122" spans="1:4" ht="13" x14ac:dyDescent="0.15">
      <c r="A122" s="18"/>
      <c r="B122" s="18"/>
      <c r="C122" s="18"/>
      <c r="D122" s="18"/>
    </row>
    <row r="123" spans="1:4" ht="13" x14ac:dyDescent="0.15">
      <c r="A123" s="18"/>
      <c r="B123" s="18"/>
      <c r="C123" s="18"/>
      <c r="D123" s="18"/>
    </row>
    <row r="124" spans="1:4" ht="13" x14ac:dyDescent="0.15">
      <c r="A124" s="18"/>
      <c r="B124" s="18"/>
      <c r="C124" s="18"/>
      <c r="D124" s="18"/>
    </row>
    <row r="125" spans="1:4" ht="13" x14ac:dyDescent="0.15">
      <c r="A125" s="18"/>
      <c r="B125" s="18"/>
      <c r="C125" s="18"/>
      <c r="D125" s="18"/>
    </row>
    <row r="126" spans="1:4" ht="13" x14ac:dyDescent="0.15">
      <c r="A126" s="18"/>
      <c r="B126" s="18"/>
      <c r="C126" s="18"/>
      <c r="D126" s="18"/>
    </row>
    <row r="127" spans="1:4" ht="13" x14ac:dyDescent="0.15">
      <c r="A127" s="18"/>
      <c r="B127" s="18"/>
      <c r="C127" s="18"/>
      <c r="D127" s="18"/>
    </row>
    <row r="128" spans="1:4" ht="13" x14ac:dyDescent="0.15">
      <c r="A128" s="18"/>
      <c r="B128" s="18"/>
      <c r="C128" s="18"/>
      <c r="D128" s="18"/>
    </row>
    <row r="129" spans="1:4" ht="13" x14ac:dyDescent="0.15">
      <c r="A129" s="18"/>
      <c r="B129" s="18"/>
      <c r="C129" s="18"/>
      <c r="D129" s="18"/>
    </row>
    <row r="130" spans="1:4" ht="13" x14ac:dyDescent="0.15">
      <c r="A130" s="18"/>
      <c r="B130" s="18"/>
      <c r="C130" s="18"/>
      <c r="D130" s="18"/>
    </row>
    <row r="131" spans="1:4" ht="13" x14ac:dyDescent="0.15">
      <c r="A131" s="18"/>
      <c r="B131" s="18"/>
      <c r="C131" s="18"/>
      <c r="D131" s="18"/>
    </row>
    <row r="132" spans="1:4" ht="13" x14ac:dyDescent="0.15">
      <c r="A132" s="18"/>
      <c r="B132" s="18"/>
      <c r="C132" s="18"/>
      <c r="D132" s="18"/>
    </row>
    <row r="133" spans="1:4" ht="13" x14ac:dyDescent="0.15">
      <c r="A133" s="18"/>
      <c r="B133" s="18"/>
      <c r="C133" s="18"/>
      <c r="D133" s="18"/>
    </row>
    <row r="134" spans="1:4" ht="13" x14ac:dyDescent="0.15">
      <c r="A134" s="18"/>
      <c r="B134" s="18"/>
      <c r="C134" s="18"/>
      <c r="D134" s="18"/>
    </row>
    <row r="135" spans="1:4" ht="13" x14ac:dyDescent="0.15">
      <c r="A135" s="18"/>
      <c r="B135" s="18"/>
      <c r="C135" s="18"/>
      <c r="D135" s="18"/>
    </row>
    <row r="136" spans="1:4" ht="13" x14ac:dyDescent="0.15">
      <c r="A136" s="18"/>
      <c r="B136" s="18"/>
      <c r="C136" s="18"/>
      <c r="D136" s="18"/>
    </row>
    <row r="137" spans="1:4" ht="13" x14ac:dyDescent="0.15">
      <c r="A137" s="18"/>
      <c r="B137" s="18"/>
      <c r="C137" s="18"/>
      <c r="D137" s="18"/>
    </row>
    <row r="138" spans="1:4" ht="13" x14ac:dyDescent="0.15">
      <c r="A138" s="18"/>
      <c r="B138" s="18"/>
      <c r="C138" s="18"/>
      <c r="D138" s="18"/>
    </row>
    <row r="139" spans="1:4" ht="13" x14ac:dyDescent="0.15">
      <c r="A139" s="18"/>
      <c r="B139" s="18"/>
      <c r="C139" s="18"/>
      <c r="D139" s="18"/>
    </row>
    <row r="140" spans="1:4" ht="13" x14ac:dyDescent="0.15">
      <c r="A140" s="18"/>
      <c r="B140" s="18"/>
      <c r="C140" s="18"/>
      <c r="D140" s="18"/>
    </row>
    <row r="141" spans="1:4" ht="13" x14ac:dyDescent="0.15">
      <c r="A141" s="18"/>
      <c r="B141" s="18"/>
      <c r="C141" s="18"/>
      <c r="D141" s="18"/>
    </row>
    <row r="142" spans="1:4" ht="13" x14ac:dyDescent="0.15">
      <c r="A142" s="18"/>
      <c r="B142" s="18"/>
      <c r="C142" s="18"/>
      <c r="D142" s="18"/>
    </row>
    <row r="143" spans="1:4" ht="13" x14ac:dyDescent="0.15">
      <c r="A143" s="18"/>
      <c r="B143" s="18"/>
      <c r="C143" s="18"/>
      <c r="D143" s="18"/>
    </row>
    <row r="144" spans="1:4" ht="13" x14ac:dyDescent="0.15">
      <c r="A144" s="18"/>
      <c r="B144" s="18"/>
      <c r="C144" s="18"/>
      <c r="D144" s="18"/>
    </row>
    <row r="145" spans="1:4" ht="13" x14ac:dyDescent="0.15">
      <c r="A145" s="18"/>
      <c r="B145" s="18"/>
      <c r="C145" s="18"/>
      <c r="D145" s="18"/>
    </row>
    <row r="146" spans="1:4" ht="13" x14ac:dyDescent="0.15">
      <c r="A146" s="18"/>
      <c r="B146" s="18"/>
      <c r="C146" s="18"/>
      <c r="D146" s="18"/>
    </row>
    <row r="147" spans="1:4" ht="13" x14ac:dyDescent="0.15">
      <c r="A147" s="18"/>
      <c r="B147" s="18"/>
      <c r="C147" s="18"/>
      <c r="D147" s="18"/>
    </row>
    <row r="148" spans="1:4" ht="13" x14ac:dyDescent="0.15">
      <c r="A148" s="18"/>
      <c r="B148" s="18"/>
      <c r="C148" s="18"/>
      <c r="D148" s="18"/>
    </row>
    <row r="149" spans="1:4" ht="13" x14ac:dyDescent="0.15">
      <c r="A149" s="18"/>
      <c r="B149" s="18"/>
      <c r="C149" s="18"/>
      <c r="D149" s="18"/>
    </row>
    <row r="150" spans="1:4" ht="13" x14ac:dyDescent="0.15">
      <c r="A150" s="18"/>
      <c r="B150" s="18"/>
      <c r="C150" s="18"/>
      <c r="D150" s="18"/>
    </row>
    <row r="151" spans="1:4" ht="13" x14ac:dyDescent="0.15">
      <c r="A151" s="18"/>
      <c r="B151" s="18"/>
      <c r="C151" s="18"/>
      <c r="D151" s="18"/>
    </row>
    <row r="152" spans="1:4" ht="13" x14ac:dyDescent="0.15">
      <c r="A152" s="18"/>
      <c r="B152" s="18"/>
      <c r="C152" s="18"/>
      <c r="D152" s="18"/>
    </row>
    <row r="153" spans="1:4" ht="13" x14ac:dyDescent="0.15">
      <c r="A153" s="18"/>
      <c r="B153" s="18"/>
      <c r="C153" s="18"/>
      <c r="D153" s="18"/>
    </row>
    <row r="154" spans="1:4" ht="13" x14ac:dyDescent="0.15">
      <c r="A154" s="18"/>
      <c r="B154" s="18"/>
      <c r="C154" s="18"/>
      <c r="D154" s="18"/>
    </row>
    <row r="155" spans="1:4" ht="13" x14ac:dyDescent="0.15">
      <c r="A155" s="18"/>
      <c r="B155" s="18"/>
      <c r="C155" s="18"/>
      <c r="D155" s="18"/>
    </row>
    <row r="156" spans="1:4" ht="13" x14ac:dyDescent="0.15">
      <c r="A156" s="18"/>
      <c r="B156" s="18"/>
      <c r="C156" s="18"/>
      <c r="D156" s="18"/>
    </row>
    <row r="157" spans="1:4" ht="13" x14ac:dyDescent="0.15">
      <c r="A157" s="18"/>
      <c r="B157" s="18"/>
      <c r="C157" s="18"/>
      <c r="D157" s="18"/>
    </row>
    <row r="158" spans="1:4" ht="13" x14ac:dyDescent="0.15">
      <c r="A158" s="18"/>
      <c r="B158" s="18"/>
      <c r="C158" s="18"/>
      <c r="D158" s="18"/>
    </row>
    <row r="159" spans="1:4" ht="13" x14ac:dyDescent="0.15">
      <c r="A159" s="18"/>
      <c r="B159" s="18"/>
      <c r="C159" s="18"/>
      <c r="D159" s="18"/>
    </row>
    <row r="160" spans="1:4" ht="13" x14ac:dyDescent="0.15">
      <c r="A160" s="18"/>
      <c r="B160" s="18"/>
      <c r="C160" s="18"/>
      <c r="D160" s="18"/>
    </row>
    <row r="161" spans="1:4" ht="13" x14ac:dyDescent="0.15">
      <c r="A161" s="18"/>
      <c r="B161" s="18"/>
      <c r="C161" s="18"/>
      <c r="D161" s="18"/>
    </row>
    <row r="162" spans="1:4" ht="13" x14ac:dyDescent="0.15">
      <c r="A162" s="18"/>
      <c r="B162" s="18"/>
      <c r="C162" s="18"/>
      <c r="D162" s="18"/>
    </row>
    <row r="163" spans="1:4" ht="13" x14ac:dyDescent="0.15">
      <c r="A163" s="18"/>
      <c r="B163" s="18"/>
      <c r="C163" s="18"/>
      <c r="D163" s="18"/>
    </row>
    <row r="164" spans="1:4" ht="13" x14ac:dyDescent="0.15">
      <c r="A164" s="18"/>
      <c r="B164" s="18"/>
      <c r="C164" s="18"/>
      <c r="D164" s="18"/>
    </row>
    <row r="165" spans="1:4" ht="13" x14ac:dyDescent="0.15">
      <c r="A165" s="18"/>
      <c r="B165" s="18"/>
      <c r="C165" s="18"/>
      <c r="D165" s="18"/>
    </row>
    <row r="166" spans="1:4" ht="13" x14ac:dyDescent="0.15">
      <c r="A166" s="18"/>
      <c r="B166" s="18"/>
      <c r="C166" s="18"/>
      <c r="D166" s="18"/>
    </row>
    <row r="167" spans="1:4" ht="13" x14ac:dyDescent="0.15">
      <c r="A167" s="18"/>
      <c r="B167" s="18"/>
      <c r="C167" s="18"/>
      <c r="D167" s="18"/>
    </row>
    <row r="168" spans="1:4" ht="13" x14ac:dyDescent="0.15">
      <c r="A168" s="18"/>
      <c r="B168" s="18"/>
      <c r="C168" s="18"/>
      <c r="D168" s="18"/>
    </row>
    <row r="169" spans="1:4" ht="13" x14ac:dyDescent="0.15">
      <c r="A169" s="18"/>
      <c r="B169" s="18"/>
      <c r="C169" s="18"/>
      <c r="D169" s="18"/>
    </row>
    <row r="170" spans="1:4" ht="13" x14ac:dyDescent="0.15">
      <c r="A170" s="18"/>
      <c r="B170" s="18"/>
      <c r="C170" s="18"/>
      <c r="D170" s="18"/>
    </row>
    <row r="171" spans="1:4" ht="13" x14ac:dyDescent="0.15">
      <c r="A171" s="18"/>
      <c r="B171" s="18"/>
      <c r="C171" s="18"/>
      <c r="D171" s="18"/>
    </row>
    <row r="172" spans="1:4" ht="13" x14ac:dyDescent="0.15">
      <c r="A172" s="18"/>
      <c r="B172" s="18"/>
      <c r="C172" s="18"/>
      <c r="D172" s="18"/>
    </row>
    <row r="173" spans="1:4" ht="13" x14ac:dyDescent="0.15">
      <c r="A173" s="18"/>
      <c r="B173" s="18"/>
      <c r="C173" s="18"/>
      <c r="D173" s="18"/>
    </row>
    <row r="174" spans="1:4" ht="13" x14ac:dyDescent="0.15">
      <c r="A174" s="18"/>
      <c r="B174" s="18"/>
      <c r="C174" s="18"/>
      <c r="D174" s="18"/>
    </row>
    <row r="175" spans="1:4" ht="13" x14ac:dyDescent="0.15">
      <c r="A175" s="18"/>
      <c r="B175" s="18"/>
      <c r="C175" s="18"/>
      <c r="D175" s="18"/>
    </row>
    <row r="176" spans="1:4" ht="13" x14ac:dyDescent="0.15">
      <c r="A176" s="18"/>
      <c r="B176" s="18"/>
      <c r="C176" s="18"/>
      <c r="D176" s="18"/>
    </row>
    <row r="177" spans="1:4" ht="13" x14ac:dyDescent="0.15">
      <c r="A177" s="18"/>
      <c r="B177" s="18"/>
      <c r="C177" s="18"/>
      <c r="D177" s="18"/>
    </row>
    <row r="178" spans="1:4" ht="13" x14ac:dyDescent="0.15">
      <c r="A178" s="18"/>
      <c r="B178" s="18"/>
      <c r="C178" s="18"/>
      <c r="D178" s="18"/>
    </row>
    <row r="179" spans="1:4" ht="13" x14ac:dyDescent="0.15">
      <c r="A179" s="18"/>
      <c r="B179" s="18"/>
      <c r="C179" s="18"/>
      <c r="D179" s="18"/>
    </row>
    <row r="180" spans="1:4" ht="13" x14ac:dyDescent="0.15">
      <c r="A180" s="18"/>
      <c r="B180" s="18"/>
      <c r="C180" s="18"/>
      <c r="D180" s="18"/>
    </row>
    <row r="181" spans="1:4" ht="13" x14ac:dyDescent="0.15">
      <c r="A181" s="18"/>
      <c r="B181" s="18"/>
      <c r="C181" s="18"/>
      <c r="D181" s="18"/>
    </row>
    <row r="182" spans="1:4" ht="13" x14ac:dyDescent="0.15">
      <c r="A182" s="18"/>
      <c r="B182" s="18"/>
      <c r="C182" s="18"/>
      <c r="D182" s="18"/>
    </row>
    <row r="183" spans="1:4" ht="13" x14ac:dyDescent="0.15">
      <c r="A183" s="18"/>
      <c r="B183" s="18"/>
      <c r="C183" s="18"/>
      <c r="D183" s="18"/>
    </row>
    <row r="184" spans="1:4" ht="13" x14ac:dyDescent="0.15">
      <c r="A184" s="18"/>
      <c r="B184" s="18"/>
      <c r="C184" s="18"/>
      <c r="D184" s="18"/>
    </row>
    <row r="185" spans="1:4" ht="13" x14ac:dyDescent="0.15">
      <c r="A185" s="18"/>
      <c r="B185" s="18"/>
      <c r="C185" s="18"/>
      <c r="D185" s="18"/>
    </row>
    <row r="186" spans="1:4" ht="13" x14ac:dyDescent="0.15">
      <c r="A186" s="18"/>
      <c r="B186" s="18"/>
      <c r="C186" s="18"/>
      <c r="D186" s="18"/>
    </row>
    <row r="187" spans="1:4" ht="13" x14ac:dyDescent="0.15">
      <c r="A187" s="18"/>
      <c r="B187" s="18"/>
      <c r="C187" s="18"/>
      <c r="D187" s="18"/>
    </row>
    <row r="188" spans="1:4" ht="13" x14ac:dyDescent="0.15">
      <c r="A188" s="18"/>
      <c r="B188" s="18"/>
      <c r="C188" s="18"/>
      <c r="D188" s="18"/>
    </row>
    <row r="189" spans="1:4" ht="13" x14ac:dyDescent="0.15">
      <c r="A189" s="18"/>
      <c r="B189" s="18"/>
      <c r="C189" s="18"/>
      <c r="D189" s="18"/>
    </row>
    <row r="190" spans="1:4" ht="13" x14ac:dyDescent="0.15">
      <c r="A190" s="18"/>
      <c r="B190" s="18"/>
      <c r="C190" s="18"/>
      <c r="D190" s="18"/>
    </row>
    <row r="191" spans="1:4" ht="13" x14ac:dyDescent="0.15">
      <c r="A191" s="18"/>
      <c r="B191" s="18"/>
      <c r="C191" s="18"/>
      <c r="D191" s="18"/>
    </row>
    <row r="192" spans="1:4" ht="13" x14ac:dyDescent="0.15">
      <c r="A192" s="18"/>
      <c r="B192" s="18"/>
      <c r="C192" s="18"/>
      <c r="D192" s="18"/>
    </row>
    <row r="193" spans="1:4" ht="13" x14ac:dyDescent="0.15">
      <c r="A193" s="18"/>
      <c r="B193" s="18"/>
      <c r="C193" s="18"/>
      <c r="D193" s="18"/>
    </row>
    <row r="194" spans="1:4" ht="13" x14ac:dyDescent="0.15">
      <c r="A194" s="18"/>
      <c r="B194" s="18"/>
      <c r="C194" s="18"/>
      <c r="D194" s="18"/>
    </row>
    <row r="195" spans="1:4" ht="13" x14ac:dyDescent="0.15">
      <c r="A195" s="18"/>
      <c r="B195" s="18"/>
      <c r="C195" s="18"/>
      <c r="D195" s="18"/>
    </row>
    <row r="196" spans="1:4" ht="13" x14ac:dyDescent="0.15">
      <c r="A196" s="18"/>
      <c r="B196" s="18"/>
      <c r="C196" s="18"/>
      <c r="D196" s="18"/>
    </row>
    <row r="197" spans="1:4" ht="13" x14ac:dyDescent="0.15">
      <c r="A197" s="18"/>
      <c r="B197" s="18"/>
      <c r="C197" s="18"/>
      <c r="D197" s="18"/>
    </row>
    <row r="198" spans="1:4" ht="13" x14ac:dyDescent="0.15">
      <c r="A198" s="18"/>
      <c r="B198" s="18"/>
      <c r="C198" s="18"/>
      <c r="D198" s="18"/>
    </row>
    <row r="199" spans="1:4" ht="13" x14ac:dyDescent="0.15">
      <c r="A199" s="18"/>
      <c r="B199" s="18"/>
      <c r="C199" s="18"/>
      <c r="D199" s="18"/>
    </row>
    <row r="200" spans="1:4" ht="13" x14ac:dyDescent="0.15">
      <c r="A200" s="18"/>
      <c r="B200" s="18"/>
      <c r="C200" s="18"/>
      <c r="D200" s="18"/>
    </row>
    <row r="201" spans="1:4" ht="13" x14ac:dyDescent="0.15">
      <c r="A201" s="18"/>
      <c r="B201" s="18"/>
      <c r="C201" s="18"/>
      <c r="D201" s="18"/>
    </row>
    <row r="202" spans="1:4" ht="13" x14ac:dyDescent="0.15">
      <c r="A202" s="18"/>
      <c r="B202" s="18"/>
      <c r="C202" s="18"/>
      <c r="D202" s="18"/>
    </row>
    <row r="203" spans="1:4" ht="13" x14ac:dyDescent="0.15">
      <c r="A203" s="18"/>
      <c r="B203" s="18"/>
      <c r="C203" s="18"/>
      <c r="D203" s="18"/>
    </row>
    <row r="204" spans="1:4" ht="13" x14ac:dyDescent="0.15">
      <c r="A204" s="18"/>
      <c r="B204" s="18"/>
      <c r="C204" s="18"/>
      <c r="D204" s="18"/>
    </row>
    <row r="205" spans="1:4" ht="13" x14ac:dyDescent="0.15">
      <c r="A205" s="18"/>
      <c r="B205" s="18"/>
      <c r="C205" s="18"/>
      <c r="D205" s="18"/>
    </row>
    <row r="206" spans="1:4" ht="13" x14ac:dyDescent="0.15">
      <c r="A206" s="18"/>
      <c r="B206" s="18"/>
      <c r="C206" s="18"/>
      <c r="D206" s="18"/>
    </row>
    <row r="207" spans="1:4" ht="13" x14ac:dyDescent="0.15">
      <c r="A207" s="18"/>
      <c r="B207" s="18"/>
      <c r="C207" s="18"/>
      <c r="D207" s="18"/>
    </row>
    <row r="208" spans="1:4" ht="13" x14ac:dyDescent="0.15">
      <c r="A208" s="18"/>
      <c r="B208" s="18"/>
      <c r="C208" s="18"/>
      <c r="D208" s="18"/>
    </row>
    <row r="209" spans="1:4" ht="13" x14ac:dyDescent="0.15">
      <c r="A209" s="18"/>
      <c r="B209" s="18"/>
      <c r="C209" s="18"/>
      <c r="D209" s="18"/>
    </row>
    <row r="210" spans="1:4" ht="13" x14ac:dyDescent="0.15">
      <c r="A210" s="18"/>
      <c r="B210" s="18"/>
      <c r="C210" s="18"/>
      <c r="D210" s="18"/>
    </row>
    <row r="211" spans="1:4" ht="13" x14ac:dyDescent="0.15">
      <c r="A211" s="18"/>
      <c r="B211" s="18"/>
      <c r="C211" s="18"/>
      <c r="D211" s="18"/>
    </row>
    <row r="212" spans="1:4" ht="13" x14ac:dyDescent="0.15">
      <c r="A212" s="18"/>
      <c r="B212" s="18"/>
      <c r="C212" s="18"/>
      <c r="D212" s="18"/>
    </row>
    <row r="213" spans="1:4" ht="13" x14ac:dyDescent="0.15">
      <c r="A213" s="18"/>
      <c r="B213" s="18"/>
      <c r="C213" s="18"/>
      <c r="D213" s="18"/>
    </row>
    <row r="214" spans="1:4" ht="13" x14ac:dyDescent="0.15">
      <c r="A214" s="18"/>
      <c r="B214" s="18"/>
      <c r="C214" s="18"/>
      <c r="D214" s="18"/>
    </row>
    <row r="215" spans="1:4" ht="13" x14ac:dyDescent="0.15">
      <c r="A215" s="18"/>
      <c r="B215" s="18"/>
      <c r="C215" s="18"/>
      <c r="D215" s="18"/>
    </row>
    <row r="216" spans="1:4" ht="13" x14ac:dyDescent="0.15">
      <c r="A216" s="18"/>
      <c r="B216" s="18"/>
      <c r="C216" s="18"/>
      <c r="D216" s="18"/>
    </row>
    <row r="217" spans="1:4" ht="13" x14ac:dyDescent="0.15">
      <c r="A217" s="18"/>
      <c r="B217" s="18"/>
      <c r="C217" s="18"/>
      <c r="D217" s="18"/>
    </row>
    <row r="218" spans="1:4" ht="13" x14ac:dyDescent="0.15">
      <c r="A218" s="18"/>
      <c r="B218" s="18"/>
      <c r="C218" s="18"/>
      <c r="D218" s="18"/>
    </row>
    <row r="219" spans="1:4" ht="13" x14ac:dyDescent="0.15">
      <c r="A219" s="18"/>
      <c r="B219" s="18"/>
      <c r="C219" s="18"/>
      <c r="D219" s="18"/>
    </row>
    <row r="220" spans="1:4" ht="13" x14ac:dyDescent="0.15">
      <c r="A220" s="18"/>
      <c r="B220" s="18"/>
      <c r="C220" s="18"/>
      <c r="D220" s="18"/>
    </row>
    <row r="221" spans="1:4" ht="13" x14ac:dyDescent="0.15">
      <c r="A221" s="18"/>
      <c r="B221" s="18"/>
      <c r="C221" s="18"/>
      <c r="D221" s="18"/>
    </row>
    <row r="222" spans="1:4" ht="13" x14ac:dyDescent="0.15">
      <c r="A222" s="18"/>
      <c r="B222" s="18"/>
      <c r="C222" s="18"/>
      <c r="D222" s="18"/>
    </row>
    <row r="223" spans="1:4" ht="13" x14ac:dyDescent="0.15">
      <c r="A223" s="18"/>
      <c r="B223" s="18"/>
      <c r="C223" s="18"/>
      <c r="D223" s="18"/>
    </row>
    <row r="224" spans="1:4" ht="13" x14ac:dyDescent="0.15">
      <c r="A224" s="18"/>
      <c r="B224" s="18"/>
      <c r="C224" s="18"/>
      <c r="D224" s="18"/>
    </row>
    <row r="225" spans="1:4" ht="13" x14ac:dyDescent="0.15">
      <c r="A225" s="18"/>
      <c r="B225" s="18"/>
      <c r="C225" s="18"/>
      <c r="D225" s="18"/>
    </row>
    <row r="226" spans="1:4" ht="13" x14ac:dyDescent="0.15">
      <c r="A226" s="18"/>
      <c r="B226" s="18"/>
      <c r="C226" s="18"/>
      <c r="D226" s="18"/>
    </row>
    <row r="227" spans="1:4" ht="13" x14ac:dyDescent="0.15">
      <c r="A227" s="18"/>
      <c r="B227" s="18"/>
      <c r="C227" s="18"/>
      <c r="D227" s="18"/>
    </row>
    <row r="228" spans="1:4" ht="13" x14ac:dyDescent="0.15">
      <c r="A228" s="18"/>
      <c r="B228" s="18"/>
      <c r="C228" s="18"/>
      <c r="D228" s="18"/>
    </row>
    <row r="229" spans="1:4" ht="13" x14ac:dyDescent="0.15">
      <c r="A229" s="18"/>
      <c r="B229" s="18"/>
      <c r="C229" s="18"/>
      <c r="D229" s="18"/>
    </row>
    <row r="230" spans="1:4" ht="13" x14ac:dyDescent="0.15">
      <c r="A230" s="18"/>
      <c r="B230" s="18"/>
      <c r="C230" s="18"/>
      <c r="D230" s="18"/>
    </row>
    <row r="231" spans="1:4" ht="13" x14ac:dyDescent="0.15">
      <c r="A231" s="18"/>
      <c r="B231" s="18"/>
      <c r="C231" s="18"/>
      <c r="D231" s="18"/>
    </row>
    <row r="232" spans="1:4" ht="13" x14ac:dyDescent="0.15">
      <c r="A232" s="18"/>
      <c r="B232" s="18"/>
      <c r="C232" s="18"/>
      <c r="D232" s="18"/>
    </row>
    <row r="233" spans="1:4" ht="13" x14ac:dyDescent="0.15">
      <c r="A233" s="18"/>
      <c r="B233" s="18"/>
      <c r="C233" s="18"/>
      <c r="D233" s="18"/>
    </row>
    <row r="234" spans="1:4" ht="13" x14ac:dyDescent="0.15">
      <c r="A234" s="18"/>
      <c r="B234" s="18"/>
      <c r="C234" s="18"/>
      <c r="D234" s="18"/>
    </row>
    <row r="235" spans="1:4" ht="13" x14ac:dyDescent="0.15">
      <c r="A235" s="18"/>
      <c r="B235" s="18"/>
      <c r="C235" s="18"/>
      <c r="D235" s="18"/>
    </row>
    <row r="236" spans="1:4" ht="13" x14ac:dyDescent="0.15">
      <c r="A236" s="18"/>
      <c r="B236" s="18"/>
      <c r="C236" s="18"/>
      <c r="D236" s="18"/>
    </row>
    <row r="237" spans="1:4" ht="13" x14ac:dyDescent="0.15">
      <c r="A237" s="18"/>
      <c r="B237" s="18"/>
      <c r="C237" s="18"/>
      <c r="D237" s="18"/>
    </row>
    <row r="238" spans="1:4" ht="13" x14ac:dyDescent="0.15">
      <c r="A238" s="18"/>
      <c r="B238" s="18"/>
      <c r="C238" s="18"/>
      <c r="D238" s="18"/>
    </row>
    <row r="239" spans="1:4" ht="13" x14ac:dyDescent="0.15">
      <c r="A239" s="18"/>
      <c r="B239" s="18"/>
      <c r="C239" s="18"/>
      <c r="D239" s="18"/>
    </row>
    <row r="240" spans="1:4" ht="13" x14ac:dyDescent="0.15">
      <c r="A240" s="18"/>
      <c r="B240" s="18"/>
      <c r="C240" s="18"/>
      <c r="D240" s="18"/>
    </row>
    <row r="241" spans="1:4" ht="13" x14ac:dyDescent="0.15">
      <c r="A241" s="18"/>
      <c r="B241" s="18"/>
      <c r="C241" s="18"/>
      <c r="D241" s="18"/>
    </row>
    <row r="242" spans="1:4" ht="13" x14ac:dyDescent="0.15">
      <c r="A242" s="18"/>
      <c r="B242" s="18"/>
      <c r="C242" s="18"/>
      <c r="D242" s="18"/>
    </row>
    <row r="243" spans="1:4" ht="13" x14ac:dyDescent="0.15">
      <c r="A243" s="18"/>
      <c r="B243" s="18"/>
      <c r="C243" s="18"/>
      <c r="D243" s="18"/>
    </row>
    <row r="244" spans="1:4" ht="13" x14ac:dyDescent="0.15">
      <c r="A244" s="18"/>
      <c r="B244" s="18"/>
      <c r="C244" s="18"/>
      <c r="D244" s="18"/>
    </row>
    <row r="245" spans="1:4" ht="13" x14ac:dyDescent="0.15">
      <c r="A245" s="18"/>
      <c r="B245" s="18"/>
      <c r="C245" s="18"/>
      <c r="D245" s="18"/>
    </row>
    <row r="246" spans="1:4" ht="13" x14ac:dyDescent="0.15">
      <c r="A246" s="18"/>
      <c r="B246" s="18"/>
      <c r="C246" s="18"/>
      <c r="D246" s="18"/>
    </row>
    <row r="247" spans="1:4" ht="13" x14ac:dyDescent="0.15">
      <c r="A247" s="18"/>
      <c r="B247" s="18"/>
      <c r="C247" s="18"/>
      <c r="D247" s="18"/>
    </row>
    <row r="248" spans="1:4" ht="13" x14ac:dyDescent="0.15">
      <c r="A248" s="18"/>
      <c r="B248" s="18"/>
      <c r="C248" s="18"/>
      <c r="D248" s="18"/>
    </row>
    <row r="249" spans="1:4" ht="13" x14ac:dyDescent="0.15">
      <c r="A249" s="18"/>
      <c r="B249" s="18"/>
      <c r="C249" s="18"/>
      <c r="D249" s="18"/>
    </row>
    <row r="250" spans="1:4" ht="13" x14ac:dyDescent="0.15">
      <c r="A250" s="18"/>
      <c r="B250" s="18"/>
      <c r="C250" s="18"/>
      <c r="D250" s="18"/>
    </row>
    <row r="251" spans="1:4" ht="13" x14ac:dyDescent="0.15">
      <c r="A251" s="18"/>
      <c r="B251" s="18"/>
      <c r="C251" s="18"/>
      <c r="D251" s="18"/>
    </row>
    <row r="252" spans="1:4" ht="13" x14ac:dyDescent="0.15">
      <c r="A252" s="18"/>
      <c r="B252" s="18"/>
      <c r="C252" s="18"/>
      <c r="D252" s="18"/>
    </row>
    <row r="253" spans="1:4" ht="13" x14ac:dyDescent="0.15">
      <c r="A253" s="18"/>
      <c r="B253" s="18"/>
      <c r="C253" s="18"/>
      <c r="D253" s="18"/>
    </row>
    <row r="254" spans="1:4" ht="13" x14ac:dyDescent="0.15">
      <c r="A254" s="18"/>
      <c r="B254" s="18"/>
      <c r="C254" s="18"/>
      <c r="D254" s="18"/>
    </row>
    <row r="255" spans="1:4" ht="13" x14ac:dyDescent="0.15">
      <c r="A255" s="18"/>
      <c r="B255" s="18"/>
      <c r="C255" s="18"/>
      <c r="D255" s="18"/>
    </row>
    <row r="256" spans="1:4" ht="13" x14ac:dyDescent="0.15">
      <c r="A256" s="18"/>
      <c r="B256" s="18"/>
      <c r="C256" s="18"/>
      <c r="D256" s="18"/>
    </row>
    <row r="257" spans="1:4" ht="13" x14ac:dyDescent="0.15">
      <c r="A257" s="18"/>
      <c r="B257" s="18"/>
      <c r="C257" s="18"/>
      <c r="D257" s="18"/>
    </row>
    <row r="258" spans="1:4" ht="13" x14ac:dyDescent="0.15">
      <c r="A258" s="18"/>
      <c r="B258" s="18"/>
      <c r="C258" s="18"/>
      <c r="D258" s="18"/>
    </row>
    <row r="259" spans="1:4" ht="13" x14ac:dyDescent="0.15">
      <c r="A259" s="18"/>
      <c r="B259" s="18"/>
      <c r="C259" s="18"/>
      <c r="D259" s="18"/>
    </row>
    <row r="260" spans="1:4" ht="13" x14ac:dyDescent="0.15">
      <c r="A260" s="18"/>
      <c r="B260" s="18"/>
      <c r="C260" s="18"/>
      <c r="D260" s="18"/>
    </row>
    <row r="261" spans="1:4" ht="13" x14ac:dyDescent="0.15">
      <c r="A261" s="18"/>
      <c r="B261" s="18"/>
      <c r="C261" s="18"/>
      <c r="D261" s="18"/>
    </row>
    <row r="262" spans="1:4" ht="13" x14ac:dyDescent="0.15">
      <c r="A262" s="18"/>
      <c r="B262" s="18"/>
      <c r="C262" s="18"/>
      <c r="D262" s="18"/>
    </row>
    <row r="263" spans="1:4" ht="13" x14ac:dyDescent="0.15">
      <c r="A263" s="18"/>
      <c r="B263" s="18"/>
      <c r="C263" s="18"/>
      <c r="D263" s="18"/>
    </row>
    <row r="264" spans="1:4" ht="13" x14ac:dyDescent="0.15">
      <c r="A264" s="18"/>
      <c r="B264" s="18"/>
      <c r="C264" s="18"/>
      <c r="D264" s="18"/>
    </row>
    <row r="265" spans="1:4" ht="13" x14ac:dyDescent="0.15">
      <c r="A265" s="18"/>
      <c r="B265" s="18"/>
      <c r="C265" s="18"/>
      <c r="D265" s="18"/>
    </row>
    <row r="266" spans="1:4" ht="13" x14ac:dyDescent="0.15">
      <c r="A266" s="18"/>
      <c r="B266" s="18"/>
      <c r="C266" s="18"/>
      <c r="D266" s="18"/>
    </row>
    <row r="267" spans="1:4" ht="13" x14ac:dyDescent="0.15">
      <c r="A267" s="18"/>
      <c r="B267" s="18"/>
      <c r="C267" s="18"/>
      <c r="D267" s="18"/>
    </row>
    <row r="268" spans="1:4" ht="13" x14ac:dyDescent="0.15">
      <c r="A268" s="18"/>
      <c r="B268" s="18"/>
      <c r="C268" s="18"/>
      <c r="D268" s="18"/>
    </row>
    <row r="269" spans="1:4" ht="13" x14ac:dyDescent="0.15">
      <c r="A269" s="18"/>
      <c r="B269" s="18"/>
      <c r="C269" s="18"/>
      <c r="D269" s="18"/>
    </row>
    <row r="270" spans="1:4" ht="13" x14ac:dyDescent="0.15">
      <c r="A270" s="18"/>
      <c r="B270" s="18"/>
      <c r="C270" s="18"/>
      <c r="D270" s="18"/>
    </row>
    <row r="271" spans="1:4" ht="13" x14ac:dyDescent="0.15">
      <c r="A271" s="18"/>
      <c r="B271" s="18"/>
      <c r="C271" s="18"/>
      <c r="D271" s="18"/>
    </row>
    <row r="272" spans="1:4" ht="13" x14ac:dyDescent="0.15">
      <c r="A272" s="18"/>
      <c r="B272" s="18"/>
      <c r="C272" s="18"/>
      <c r="D272" s="18"/>
    </row>
    <row r="273" spans="1:4" ht="13" x14ac:dyDescent="0.15">
      <c r="A273" s="18"/>
      <c r="B273" s="18"/>
      <c r="C273" s="18"/>
      <c r="D273" s="18"/>
    </row>
    <row r="274" spans="1:4" ht="13" x14ac:dyDescent="0.15">
      <c r="A274" s="18"/>
      <c r="B274" s="18"/>
      <c r="C274" s="18"/>
      <c r="D274" s="18"/>
    </row>
    <row r="275" spans="1:4" ht="13" x14ac:dyDescent="0.15">
      <c r="A275" s="18"/>
      <c r="B275" s="18"/>
      <c r="C275" s="18"/>
      <c r="D275" s="18"/>
    </row>
    <row r="276" spans="1:4" ht="13" x14ac:dyDescent="0.15">
      <c r="A276" s="18"/>
      <c r="B276" s="18"/>
      <c r="C276" s="18"/>
      <c r="D276" s="18"/>
    </row>
    <row r="277" spans="1:4" ht="13" x14ac:dyDescent="0.15">
      <c r="A277" s="18"/>
      <c r="B277" s="18"/>
      <c r="C277" s="18"/>
      <c r="D277" s="18"/>
    </row>
    <row r="278" spans="1:4" ht="13" x14ac:dyDescent="0.15">
      <c r="A278" s="18"/>
      <c r="B278" s="18"/>
      <c r="C278" s="18"/>
      <c r="D278" s="18"/>
    </row>
    <row r="279" spans="1:4" ht="13" x14ac:dyDescent="0.15">
      <c r="A279" s="18"/>
      <c r="B279" s="18"/>
      <c r="C279" s="18"/>
      <c r="D279" s="18"/>
    </row>
    <row r="280" spans="1:4" ht="13" x14ac:dyDescent="0.15">
      <c r="A280" s="18"/>
      <c r="B280" s="18"/>
      <c r="C280" s="18"/>
      <c r="D280" s="18"/>
    </row>
    <row r="281" spans="1:4" ht="13" x14ac:dyDescent="0.15">
      <c r="A281" s="18"/>
      <c r="B281" s="18"/>
      <c r="C281" s="18"/>
      <c r="D281" s="18"/>
    </row>
    <row r="282" spans="1:4" ht="13" x14ac:dyDescent="0.15">
      <c r="A282" s="18"/>
      <c r="B282" s="18"/>
      <c r="C282" s="18"/>
      <c r="D282" s="18"/>
    </row>
    <row r="283" spans="1:4" ht="13" x14ac:dyDescent="0.15">
      <c r="A283" s="18"/>
      <c r="B283" s="18"/>
      <c r="C283" s="18"/>
      <c r="D283" s="18"/>
    </row>
    <row r="284" spans="1:4" ht="13" x14ac:dyDescent="0.15">
      <c r="A284" s="18"/>
      <c r="B284" s="18"/>
      <c r="C284" s="18"/>
      <c r="D284" s="18"/>
    </row>
    <row r="285" spans="1:4" ht="13" x14ac:dyDescent="0.15">
      <c r="A285" s="18"/>
      <c r="B285" s="18"/>
      <c r="C285" s="18"/>
      <c r="D285" s="18"/>
    </row>
    <row r="286" spans="1:4" ht="13" x14ac:dyDescent="0.15">
      <c r="A286" s="18"/>
      <c r="B286" s="18"/>
      <c r="C286" s="18"/>
      <c r="D286" s="18"/>
    </row>
    <row r="287" spans="1:4" ht="13" x14ac:dyDescent="0.15">
      <c r="A287" s="18"/>
      <c r="B287" s="18"/>
      <c r="C287" s="18"/>
      <c r="D287" s="18"/>
    </row>
    <row r="288" spans="1:4" ht="13" x14ac:dyDescent="0.15">
      <c r="A288" s="18"/>
      <c r="B288" s="18"/>
      <c r="C288" s="18"/>
      <c r="D288" s="18"/>
    </row>
    <row r="289" spans="1:4" ht="13" x14ac:dyDescent="0.15">
      <c r="A289" s="18"/>
      <c r="B289" s="18"/>
      <c r="C289" s="18"/>
      <c r="D289" s="18"/>
    </row>
    <row r="290" spans="1:4" ht="13" x14ac:dyDescent="0.15">
      <c r="A290" s="18"/>
      <c r="B290" s="18"/>
      <c r="C290" s="18"/>
      <c r="D290" s="18"/>
    </row>
    <row r="291" spans="1:4" ht="13" x14ac:dyDescent="0.15">
      <c r="A291" s="18"/>
      <c r="B291" s="18"/>
      <c r="C291" s="18"/>
      <c r="D291" s="18"/>
    </row>
    <row r="292" spans="1:4" ht="13" x14ac:dyDescent="0.15">
      <c r="A292" s="18"/>
      <c r="B292" s="18"/>
      <c r="C292" s="18"/>
      <c r="D292" s="18"/>
    </row>
    <row r="293" spans="1:4" ht="13" x14ac:dyDescent="0.15">
      <c r="A293" s="18"/>
      <c r="B293" s="18"/>
      <c r="C293" s="18"/>
      <c r="D293" s="18"/>
    </row>
    <row r="294" spans="1:4" ht="13" x14ac:dyDescent="0.15">
      <c r="A294" s="18"/>
      <c r="B294" s="18"/>
      <c r="C294" s="18"/>
      <c r="D294" s="18"/>
    </row>
    <row r="295" spans="1:4" ht="13" x14ac:dyDescent="0.15">
      <c r="A295" s="18"/>
      <c r="B295" s="18"/>
      <c r="C295" s="18"/>
      <c r="D295" s="18"/>
    </row>
    <row r="296" spans="1:4" ht="13" x14ac:dyDescent="0.15">
      <c r="A296" s="18"/>
      <c r="B296" s="18"/>
      <c r="C296" s="18"/>
      <c r="D296" s="18"/>
    </row>
    <row r="297" spans="1:4" ht="13" x14ac:dyDescent="0.15">
      <c r="A297" s="18"/>
      <c r="B297" s="18"/>
      <c r="C297" s="18"/>
      <c r="D297" s="18"/>
    </row>
    <row r="298" spans="1:4" ht="13" x14ac:dyDescent="0.15">
      <c r="A298" s="18"/>
      <c r="B298" s="18"/>
      <c r="C298" s="18"/>
      <c r="D298" s="18"/>
    </row>
    <row r="299" spans="1:4" ht="13" x14ac:dyDescent="0.15">
      <c r="A299" s="18"/>
      <c r="B299" s="18"/>
      <c r="C299" s="18"/>
      <c r="D299" s="18"/>
    </row>
    <row r="300" spans="1:4" ht="13" x14ac:dyDescent="0.15">
      <c r="A300" s="18"/>
      <c r="B300" s="18"/>
      <c r="C300" s="18"/>
      <c r="D300" s="18"/>
    </row>
    <row r="301" spans="1:4" ht="13" x14ac:dyDescent="0.15">
      <c r="A301" s="18"/>
      <c r="B301" s="18"/>
      <c r="C301" s="18"/>
      <c r="D301" s="18"/>
    </row>
    <row r="302" spans="1:4" ht="13" x14ac:dyDescent="0.15">
      <c r="A302" s="18"/>
      <c r="B302" s="18"/>
      <c r="C302" s="18"/>
      <c r="D302" s="18"/>
    </row>
    <row r="303" spans="1:4" ht="13" x14ac:dyDescent="0.15">
      <c r="A303" s="18"/>
      <c r="B303" s="18"/>
      <c r="C303" s="18"/>
      <c r="D303" s="18"/>
    </row>
    <row r="304" spans="1:4" ht="13" x14ac:dyDescent="0.15">
      <c r="A304" s="18"/>
      <c r="B304" s="18"/>
      <c r="C304" s="18"/>
      <c r="D304" s="18"/>
    </row>
    <row r="305" spans="1:4" ht="13" x14ac:dyDescent="0.15">
      <c r="A305" s="18"/>
      <c r="B305" s="18"/>
      <c r="C305" s="18"/>
      <c r="D305" s="18"/>
    </row>
    <row r="306" spans="1:4" ht="13" x14ac:dyDescent="0.15">
      <c r="A306" s="18"/>
      <c r="B306" s="18"/>
      <c r="C306" s="18"/>
      <c r="D306" s="18"/>
    </row>
    <row r="307" spans="1:4" ht="13" x14ac:dyDescent="0.15">
      <c r="A307" s="18"/>
      <c r="B307" s="18"/>
      <c r="C307" s="18"/>
      <c r="D307" s="18"/>
    </row>
    <row r="308" spans="1:4" ht="13" x14ac:dyDescent="0.15">
      <c r="A308" s="18"/>
      <c r="B308" s="18"/>
      <c r="C308" s="18"/>
      <c r="D308" s="18"/>
    </row>
    <row r="309" spans="1:4" ht="13" x14ac:dyDescent="0.15">
      <c r="A309" s="18"/>
      <c r="B309" s="18"/>
      <c r="C309" s="18"/>
      <c r="D309" s="18"/>
    </row>
    <row r="310" spans="1:4" ht="13" x14ac:dyDescent="0.15">
      <c r="A310" s="18"/>
      <c r="B310" s="18"/>
      <c r="C310" s="18"/>
      <c r="D310" s="18"/>
    </row>
    <row r="311" spans="1:4" ht="13" x14ac:dyDescent="0.15">
      <c r="A311" s="18"/>
      <c r="B311" s="18"/>
      <c r="C311" s="18"/>
      <c r="D311" s="18"/>
    </row>
    <row r="312" spans="1:4" ht="13" x14ac:dyDescent="0.15">
      <c r="A312" s="18"/>
      <c r="B312" s="18"/>
      <c r="C312" s="18"/>
      <c r="D312" s="18"/>
    </row>
    <row r="313" spans="1:4" ht="13" x14ac:dyDescent="0.15">
      <c r="A313" s="18"/>
      <c r="B313" s="18"/>
      <c r="C313" s="18"/>
      <c r="D313" s="18"/>
    </row>
    <row r="314" spans="1:4" ht="13" x14ac:dyDescent="0.15">
      <c r="A314" s="18"/>
      <c r="B314" s="18"/>
      <c r="C314" s="18"/>
      <c r="D314" s="18"/>
    </row>
    <row r="315" spans="1:4" ht="13" x14ac:dyDescent="0.15">
      <c r="A315" s="18"/>
      <c r="B315" s="18"/>
      <c r="C315" s="18"/>
      <c r="D315" s="18"/>
    </row>
    <row r="316" spans="1:4" ht="13" x14ac:dyDescent="0.15">
      <c r="A316" s="18"/>
      <c r="B316" s="18"/>
      <c r="C316" s="18"/>
      <c r="D316" s="18"/>
    </row>
    <row r="317" spans="1:4" ht="13" x14ac:dyDescent="0.15">
      <c r="A317" s="18"/>
      <c r="B317" s="18"/>
      <c r="C317" s="18"/>
      <c r="D317" s="18"/>
    </row>
    <row r="318" spans="1:4" ht="13" x14ac:dyDescent="0.15">
      <c r="A318" s="18"/>
      <c r="B318" s="18"/>
      <c r="C318" s="18"/>
      <c r="D318" s="18"/>
    </row>
    <row r="319" spans="1:4" ht="13" x14ac:dyDescent="0.15">
      <c r="A319" s="18"/>
      <c r="B319" s="18"/>
      <c r="C319" s="18"/>
      <c r="D319" s="18"/>
    </row>
    <row r="320" spans="1:4" ht="13" x14ac:dyDescent="0.15">
      <c r="A320" s="18"/>
      <c r="B320" s="18"/>
      <c r="C320" s="18"/>
      <c r="D320" s="18"/>
    </row>
    <row r="321" spans="1:4" ht="13" x14ac:dyDescent="0.15">
      <c r="A321" s="18"/>
      <c r="B321" s="18"/>
      <c r="C321" s="18"/>
      <c r="D321" s="18"/>
    </row>
    <row r="322" spans="1:4" ht="13" x14ac:dyDescent="0.15">
      <c r="A322" s="18"/>
      <c r="B322" s="18"/>
      <c r="C322" s="18"/>
      <c r="D322" s="18"/>
    </row>
    <row r="323" spans="1:4" ht="13" x14ac:dyDescent="0.15">
      <c r="A323" s="18"/>
      <c r="B323" s="18"/>
      <c r="C323" s="18"/>
      <c r="D323" s="18"/>
    </row>
    <row r="324" spans="1:4" ht="13" x14ac:dyDescent="0.15">
      <c r="A324" s="18"/>
      <c r="B324" s="18"/>
      <c r="C324" s="18"/>
      <c r="D324" s="18"/>
    </row>
    <row r="325" spans="1:4" ht="13" x14ac:dyDescent="0.15">
      <c r="A325" s="18"/>
      <c r="B325" s="18"/>
      <c r="C325" s="18"/>
      <c r="D325" s="18"/>
    </row>
    <row r="326" spans="1:4" ht="13" x14ac:dyDescent="0.15">
      <c r="A326" s="18"/>
      <c r="B326" s="18"/>
      <c r="C326" s="18"/>
      <c r="D326" s="18"/>
    </row>
    <row r="327" spans="1:4" ht="13" x14ac:dyDescent="0.15">
      <c r="A327" s="18"/>
      <c r="B327" s="18"/>
      <c r="C327" s="18"/>
      <c r="D327" s="18"/>
    </row>
    <row r="328" spans="1:4" ht="13" x14ac:dyDescent="0.15">
      <c r="A328" s="18"/>
      <c r="B328" s="18"/>
      <c r="C328" s="18"/>
      <c r="D328" s="18"/>
    </row>
    <row r="329" spans="1:4" ht="13" x14ac:dyDescent="0.15">
      <c r="A329" s="18"/>
      <c r="B329" s="18"/>
      <c r="C329" s="18"/>
      <c r="D329" s="18"/>
    </row>
    <row r="330" spans="1:4" ht="13" x14ac:dyDescent="0.15">
      <c r="A330" s="18"/>
      <c r="B330" s="18"/>
      <c r="C330" s="18"/>
      <c r="D330" s="18"/>
    </row>
    <row r="331" spans="1:4" ht="13" x14ac:dyDescent="0.15">
      <c r="A331" s="18"/>
      <c r="B331" s="18"/>
      <c r="C331" s="18"/>
      <c r="D331" s="18"/>
    </row>
    <row r="332" spans="1:4" ht="13" x14ac:dyDescent="0.15">
      <c r="A332" s="18"/>
      <c r="B332" s="18"/>
      <c r="C332" s="18"/>
      <c r="D332" s="18"/>
    </row>
    <row r="333" spans="1:4" ht="13" x14ac:dyDescent="0.15">
      <c r="A333" s="18"/>
      <c r="B333" s="18"/>
      <c r="C333" s="18"/>
      <c r="D333" s="18"/>
    </row>
    <row r="334" spans="1:4" ht="13" x14ac:dyDescent="0.15">
      <c r="A334" s="18"/>
      <c r="B334" s="18"/>
      <c r="C334" s="18"/>
      <c r="D334" s="18"/>
    </row>
    <row r="335" spans="1:4" ht="13" x14ac:dyDescent="0.15">
      <c r="A335" s="18"/>
      <c r="B335" s="18"/>
      <c r="C335" s="18"/>
      <c r="D335" s="18"/>
    </row>
    <row r="336" spans="1:4" ht="13" x14ac:dyDescent="0.15">
      <c r="A336" s="18"/>
      <c r="B336" s="18"/>
      <c r="C336" s="18"/>
      <c r="D336" s="18"/>
    </row>
    <row r="337" spans="1:4" ht="13" x14ac:dyDescent="0.15">
      <c r="A337" s="18"/>
      <c r="B337" s="18"/>
      <c r="C337" s="18"/>
      <c r="D337" s="18"/>
    </row>
    <row r="338" spans="1:4" ht="13" x14ac:dyDescent="0.15">
      <c r="A338" s="18"/>
      <c r="B338" s="18"/>
      <c r="C338" s="18"/>
      <c r="D338" s="18"/>
    </row>
    <row r="339" spans="1:4" ht="13" x14ac:dyDescent="0.15">
      <c r="A339" s="18"/>
      <c r="B339" s="18"/>
      <c r="C339" s="18"/>
      <c r="D339" s="18"/>
    </row>
    <row r="340" spans="1:4" ht="13" x14ac:dyDescent="0.15">
      <c r="A340" s="18"/>
      <c r="B340" s="18"/>
      <c r="C340" s="18"/>
      <c r="D340" s="18"/>
    </row>
    <row r="341" spans="1:4" ht="13" x14ac:dyDescent="0.15">
      <c r="A341" s="18"/>
      <c r="B341" s="18"/>
      <c r="C341" s="18"/>
      <c r="D341" s="18"/>
    </row>
    <row r="342" spans="1:4" ht="13" x14ac:dyDescent="0.15">
      <c r="A342" s="18"/>
      <c r="B342" s="18"/>
      <c r="C342" s="18"/>
      <c r="D342" s="18"/>
    </row>
    <row r="343" spans="1:4" ht="13" x14ac:dyDescent="0.15">
      <c r="A343" s="18"/>
      <c r="B343" s="18"/>
      <c r="C343" s="18"/>
      <c r="D343" s="18"/>
    </row>
    <row r="344" spans="1:4" ht="13" x14ac:dyDescent="0.15">
      <c r="A344" s="18"/>
      <c r="B344" s="18"/>
      <c r="C344" s="18"/>
      <c r="D344" s="18"/>
    </row>
    <row r="345" spans="1:4" ht="13" x14ac:dyDescent="0.15">
      <c r="A345" s="18"/>
      <c r="B345" s="18"/>
      <c r="C345" s="18"/>
      <c r="D345" s="18"/>
    </row>
    <row r="346" spans="1:4" ht="13" x14ac:dyDescent="0.15">
      <c r="A346" s="18"/>
      <c r="B346" s="18"/>
      <c r="C346" s="18"/>
      <c r="D346" s="18"/>
    </row>
    <row r="347" spans="1:4" ht="13" x14ac:dyDescent="0.15">
      <c r="A347" s="18"/>
      <c r="B347" s="18"/>
      <c r="C347" s="18"/>
      <c r="D347" s="18"/>
    </row>
    <row r="348" spans="1:4" ht="13" x14ac:dyDescent="0.15">
      <c r="A348" s="18"/>
      <c r="B348" s="18"/>
      <c r="C348" s="18"/>
      <c r="D348" s="18"/>
    </row>
    <row r="349" spans="1:4" ht="13" x14ac:dyDescent="0.15">
      <c r="A349" s="18"/>
      <c r="B349" s="18"/>
      <c r="C349" s="18"/>
      <c r="D349" s="18"/>
    </row>
    <row r="350" spans="1:4" ht="13" x14ac:dyDescent="0.15">
      <c r="A350" s="18"/>
      <c r="B350" s="18"/>
      <c r="C350" s="18"/>
      <c r="D350" s="18"/>
    </row>
    <row r="351" spans="1:4" ht="13" x14ac:dyDescent="0.15">
      <c r="A351" s="18"/>
      <c r="B351" s="18"/>
      <c r="C351" s="18"/>
      <c r="D351" s="18"/>
    </row>
    <row r="352" spans="1:4" ht="13" x14ac:dyDescent="0.15">
      <c r="A352" s="18"/>
      <c r="B352" s="18"/>
      <c r="C352" s="18"/>
      <c r="D352" s="18"/>
    </row>
    <row r="353" spans="1:4" ht="13" x14ac:dyDescent="0.15">
      <c r="A353" s="18"/>
      <c r="B353" s="18"/>
      <c r="C353" s="18"/>
      <c r="D353" s="18"/>
    </row>
    <row r="354" spans="1:4" ht="13" x14ac:dyDescent="0.15">
      <c r="A354" s="18"/>
      <c r="B354" s="18"/>
      <c r="C354" s="18"/>
      <c r="D354" s="18"/>
    </row>
    <row r="355" spans="1:4" ht="13" x14ac:dyDescent="0.15">
      <c r="A355" s="18"/>
      <c r="B355" s="18"/>
      <c r="C355" s="18"/>
      <c r="D355" s="18"/>
    </row>
    <row r="356" spans="1:4" ht="13" x14ac:dyDescent="0.15">
      <c r="A356" s="18"/>
      <c r="B356" s="18"/>
      <c r="C356" s="18"/>
      <c r="D356" s="18"/>
    </row>
    <row r="357" spans="1:4" ht="13" x14ac:dyDescent="0.15">
      <c r="A357" s="18"/>
      <c r="B357" s="18"/>
      <c r="C357" s="18"/>
      <c r="D357" s="18"/>
    </row>
    <row r="358" spans="1:4" ht="13" x14ac:dyDescent="0.15">
      <c r="A358" s="18"/>
      <c r="B358" s="18"/>
      <c r="C358" s="18"/>
      <c r="D358" s="18"/>
    </row>
    <row r="359" spans="1:4" ht="13" x14ac:dyDescent="0.15">
      <c r="A359" s="18"/>
      <c r="B359" s="18"/>
      <c r="C359" s="18"/>
      <c r="D359" s="18"/>
    </row>
    <row r="360" spans="1:4" ht="13" x14ac:dyDescent="0.15">
      <c r="A360" s="18"/>
      <c r="B360" s="18"/>
      <c r="C360" s="18"/>
      <c r="D360" s="18"/>
    </row>
    <row r="361" spans="1:4" ht="13" x14ac:dyDescent="0.15">
      <c r="A361" s="18"/>
      <c r="B361" s="18"/>
      <c r="C361" s="18"/>
      <c r="D361" s="18"/>
    </row>
    <row r="362" spans="1:4" ht="13" x14ac:dyDescent="0.15">
      <c r="A362" s="18"/>
      <c r="B362" s="18"/>
      <c r="C362" s="18"/>
      <c r="D362" s="18"/>
    </row>
    <row r="363" spans="1:4" ht="13" x14ac:dyDescent="0.15">
      <c r="A363" s="18"/>
      <c r="B363" s="18"/>
      <c r="C363" s="18"/>
      <c r="D363" s="18"/>
    </row>
    <row r="364" spans="1:4" ht="13" x14ac:dyDescent="0.15">
      <c r="A364" s="18"/>
      <c r="B364" s="18"/>
      <c r="C364" s="18"/>
      <c r="D364" s="18"/>
    </row>
    <row r="365" spans="1:4" ht="13" x14ac:dyDescent="0.15">
      <c r="A365" s="18"/>
      <c r="B365" s="18"/>
      <c r="C365" s="18"/>
      <c r="D365" s="18"/>
    </row>
    <row r="366" spans="1:4" ht="13" x14ac:dyDescent="0.15">
      <c r="A366" s="18"/>
      <c r="B366" s="18"/>
      <c r="C366" s="18"/>
      <c r="D366" s="18"/>
    </row>
    <row r="367" spans="1:4" ht="13" x14ac:dyDescent="0.15">
      <c r="A367" s="18"/>
      <c r="B367" s="18"/>
      <c r="C367" s="18"/>
      <c r="D367" s="18"/>
    </row>
    <row r="368" spans="1:4" ht="13" x14ac:dyDescent="0.15">
      <c r="A368" s="18"/>
      <c r="B368" s="18"/>
      <c r="C368" s="18"/>
      <c r="D368" s="18"/>
    </row>
    <row r="369" spans="1:4" ht="13" x14ac:dyDescent="0.15">
      <c r="A369" s="18"/>
      <c r="B369" s="18"/>
      <c r="C369" s="18"/>
      <c r="D369" s="18"/>
    </row>
    <row r="370" spans="1:4" ht="13" x14ac:dyDescent="0.15">
      <c r="A370" s="18"/>
      <c r="B370" s="18"/>
      <c r="C370" s="18"/>
      <c r="D370" s="18"/>
    </row>
    <row r="371" spans="1:4" ht="13" x14ac:dyDescent="0.15">
      <c r="A371" s="18"/>
      <c r="B371" s="18"/>
      <c r="C371" s="18"/>
      <c r="D371" s="18"/>
    </row>
    <row r="372" spans="1:4" ht="13" x14ac:dyDescent="0.15">
      <c r="A372" s="18"/>
      <c r="B372" s="18"/>
      <c r="C372" s="18"/>
      <c r="D372" s="18"/>
    </row>
    <row r="373" spans="1:4" ht="13" x14ac:dyDescent="0.15">
      <c r="A373" s="18"/>
      <c r="B373" s="18"/>
      <c r="C373" s="18"/>
      <c r="D373" s="18"/>
    </row>
    <row r="374" spans="1:4" ht="13" x14ac:dyDescent="0.15">
      <c r="A374" s="18"/>
      <c r="B374" s="18"/>
      <c r="C374" s="18"/>
      <c r="D374" s="18"/>
    </row>
    <row r="375" spans="1:4" ht="13" x14ac:dyDescent="0.15">
      <c r="A375" s="18"/>
      <c r="B375" s="18"/>
      <c r="C375" s="18"/>
      <c r="D375" s="18"/>
    </row>
    <row r="376" spans="1:4" ht="13" x14ac:dyDescent="0.15">
      <c r="A376" s="18"/>
      <c r="B376" s="18"/>
      <c r="C376" s="18"/>
      <c r="D376" s="18"/>
    </row>
    <row r="377" spans="1:4" ht="13" x14ac:dyDescent="0.15">
      <c r="A377" s="18"/>
      <c r="B377" s="18"/>
      <c r="C377" s="18"/>
      <c r="D377" s="18"/>
    </row>
    <row r="378" spans="1:4" ht="13" x14ac:dyDescent="0.15">
      <c r="A378" s="18"/>
      <c r="B378" s="18"/>
      <c r="C378" s="18"/>
      <c r="D378" s="18"/>
    </row>
    <row r="379" spans="1:4" ht="13" x14ac:dyDescent="0.15">
      <c r="A379" s="18"/>
      <c r="B379" s="18"/>
      <c r="C379" s="18"/>
      <c r="D379" s="18"/>
    </row>
    <row r="380" spans="1:4" ht="13" x14ac:dyDescent="0.15">
      <c r="A380" s="18"/>
      <c r="B380" s="18"/>
      <c r="C380" s="18"/>
      <c r="D380" s="18"/>
    </row>
    <row r="381" spans="1:4" ht="13" x14ac:dyDescent="0.15">
      <c r="A381" s="18"/>
      <c r="B381" s="18"/>
      <c r="C381" s="18"/>
      <c r="D381" s="18"/>
    </row>
    <row r="382" spans="1:4" ht="13" x14ac:dyDescent="0.15">
      <c r="A382" s="18"/>
      <c r="B382" s="18"/>
      <c r="C382" s="18"/>
      <c r="D382" s="18"/>
    </row>
    <row r="383" spans="1:4" ht="13" x14ac:dyDescent="0.15">
      <c r="A383" s="18"/>
      <c r="B383" s="18"/>
      <c r="C383" s="18"/>
      <c r="D383" s="18"/>
    </row>
    <row r="384" spans="1:4" ht="13" x14ac:dyDescent="0.15">
      <c r="A384" s="18"/>
      <c r="B384" s="18"/>
      <c r="C384" s="18"/>
      <c r="D384" s="18"/>
    </row>
    <row r="385" spans="1:4" ht="13" x14ac:dyDescent="0.15">
      <c r="A385" s="18"/>
      <c r="B385" s="18"/>
      <c r="C385" s="18"/>
      <c r="D385" s="18"/>
    </row>
    <row r="386" spans="1:4" ht="13" x14ac:dyDescent="0.15">
      <c r="A386" s="18"/>
      <c r="B386" s="18"/>
      <c r="C386" s="18"/>
      <c r="D386" s="18"/>
    </row>
    <row r="387" spans="1:4" ht="13" x14ac:dyDescent="0.15">
      <c r="A387" s="18"/>
      <c r="B387" s="18"/>
      <c r="C387" s="18"/>
      <c r="D387" s="18"/>
    </row>
    <row r="388" spans="1:4" ht="13" x14ac:dyDescent="0.15">
      <c r="A388" s="18"/>
      <c r="B388" s="18"/>
      <c r="C388" s="18"/>
      <c r="D388" s="18"/>
    </row>
    <row r="389" spans="1:4" ht="13" x14ac:dyDescent="0.15">
      <c r="A389" s="18"/>
      <c r="B389" s="18"/>
      <c r="C389" s="18"/>
      <c r="D389" s="18"/>
    </row>
    <row r="390" spans="1:4" ht="13" x14ac:dyDescent="0.15">
      <c r="A390" s="18"/>
      <c r="B390" s="18"/>
      <c r="C390" s="18"/>
      <c r="D390" s="18"/>
    </row>
    <row r="391" spans="1:4" ht="13" x14ac:dyDescent="0.15">
      <c r="A391" s="18"/>
      <c r="B391" s="18"/>
      <c r="C391" s="18"/>
      <c r="D391" s="18"/>
    </row>
    <row r="392" spans="1:4" ht="13" x14ac:dyDescent="0.15">
      <c r="A392" s="18"/>
      <c r="B392" s="18"/>
      <c r="C392" s="18"/>
      <c r="D392" s="18"/>
    </row>
    <row r="393" spans="1:4" ht="13" x14ac:dyDescent="0.15">
      <c r="A393" s="18"/>
      <c r="B393" s="18"/>
      <c r="C393" s="18"/>
      <c r="D393" s="18"/>
    </row>
    <row r="394" spans="1:4" ht="13" x14ac:dyDescent="0.15">
      <c r="A394" s="18"/>
      <c r="B394" s="18"/>
      <c r="C394" s="18"/>
      <c r="D394" s="18"/>
    </row>
    <row r="395" spans="1:4" ht="13" x14ac:dyDescent="0.15">
      <c r="A395" s="18"/>
      <c r="B395" s="18"/>
      <c r="C395" s="18"/>
      <c r="D395" s="18"/>
    </row>
    <row r="396" spans="1:4" ht="13" x14ac:dyDescent="0.15">
      <c r="A396" s="18"/>
      <c r="B396" s="18"/>
      <c r="C396" s="18"/>
      <c r="D396" s="18"/>
    </row>
    <row r="397" spans="1:4" ht="13" x14ac:dyDescent="0.15">
      <c r="A397" s="18"/>
      <c r="B397" s="18"/>
      <c r="C397" s="18"/>
      <c r="D397" s="18"/>
    </row>
    <row r="398" spans="1:4" ht="13" x14ac:dyDescent="0.15">
      <c r="A398" s="18"/>
      <c r="B398" s="18"/>
      <c r="C398" s="18"/>
      <c r="D398" s="18"/>
    </row>
    <row r="399" spans="1:4" ht="13" x14ac:dyDescent="0.15">
      <c r="A399" s="18"/>
      <c r="B399" s="18"/>
      <c r="C399" s="18"/>
      <c r="D399" s="18"/>
    </row>
    <row r="400" spans="1:4" ht="13" x14ac:dyDescent="0.15">
      <c r="A400" s="18"/>
      <c r="B400" s="18"/>
      <c r="C400" s="18"/>
      <c r="D400" s="18"/>
    </row>
    <row r="401" spans="1:4" ht="13" x14ac:dyDescent="0.15">
      <c r="A401" s="18"/>
      <c r="B401" s="18"/>
      <c r="C401" s="18"/>
      <c r="D401" s="18"/>
    </row>
    <row r="402" spans="1:4" ht="13" x14ac:dyDescent="0.15">
      <c r="A402" s="18"/>
      <c r="B402" s="18"/>
      <c r="C402" s="18"/>
      <c r="D402" s="18"/>
    </row>
    <row r="403" spans="1:4" ht="13" x14ac:dyDescent="0.15">
      <c r="A403" s="18"/>
      <c r="B403" s="18"/>
      <c r="C403" s="18"/>
      <c r="D403" s="18"/>
    </row>
    <row r="404" spans="1:4" ht="13" x14ac:dyDescent="0.15">
      <c r="A404" s="18"/>
      <c r="B404" s="18"/>
      <c r="C404" s="18"/>
      <c r="D404" s="18"/>
    </row>
    <row r="405" spans="1:4" ht="13" x14ac:dyDescent="0.15">
      <c r="A405" s="18"/>
      <c r="B405" s="18"/>
      <c r="C405" s="18"/>
      <c r="D405" s="18"/>
    </row>
    <row r="406" spans="1:4" ht="13" x14ac:dyDescent="0.15">
      <c r="A406" s="18"/>
      <c r="B406" s="18"/>
      <c r="C406" s="18"/>
      <c r="D406" s="18"/>
    </row>
    <row r="407" spans="1:4" ht="13" x14ac:dyDescent="0.15">
      <c r="A407" s="18"/>
      <c r="B407" s="18"/>
      <c r="C407" s="18"/>
      <c r="D407" s="18"/>
    </row>
    <row r="408" spans="1:4" ht="13" x14ac:dyDescent="0.15">
      <c r="A408" s="18"/>
      <c r="B408" s="18"/>
      <c r="C408" s="18"/>
      <c r="D408" s="18"/>
    </row>
    <row r="409" spans="1:4" ht="13" x14ac:dyDescent="0.15">
      <c r="A409" s="18"/>
      <c r="B409" s="18"/>
      <c r="C409" s="18"/>
      <c r="D409" s="18"/>
    </row>
    <row r="410" spans="1:4" ht="13" x14ac:dyDescent="0.15">
      <c r="A410" s="18"/>
      <c r="B410" s="18"/>
      <c r="C410" s="18"/>
      <c r="D410" s="18"/>
    </row>
    <row r="411" spans="1:4" ht="13" x14ac:dyDescent="0.15">
      <c r="A411" s="18"/>
      <c r="B411" s="18"/>
      <c r="C411" s="18"/>
      <c r="D411" s="18"/>
    </row>
    <row r="412" spans="1:4" ht="13" x14ac:dyDescent="0.15">
      <c r="A412" s="18"/>
      <c r="B412" s="18"/>
      <c r="C412" s="18"/>
      <c r="D412" s="18"/>
    </row>
    <row r="413" spans="1:4" ht="13" x14ac:dyDescent="0.15">
      <c r="A413" s="18"/>
      <c r="B413" s="18"/>
      <c r="C413" s="18"/>
      <c r="D413" s="18"/>
    </row>
    <row r="414" spans="1:4" ht="13" x14ac:dyDescent="0.15">
      <c r="A414" s="18"/>
      <c r="B414" s="18"/>
      <c r="C414" s="18"/>
      <c r="D414" s="18"/>
    </row>
    <row r="415" spans="1:4" ht="13" x14ac:dyDescent="0.15">
      <c r="A415" s="18"/>
      <c r="B415" s="18"/>
      <c r="C415" s="18"/>
      <c r="D415" s="18"/>
    </row>
    <row r="416" spans="1:4" ht="13" x14ac:dyDescent="0.15">
      <c r="A416" s="18"/>
      <c r="B416" s="18"/>
      <c r="C416" s="18"/>
      <c r="D416" s="18"/>
    </row>
    <row r="417" spans="1:4" ht="13" x14ac:dyDescent="0.15">
      <c r="A417" s="18"/>
      <c r="B417" s="18"/>
      <c r="C417" s="18"/>
      <c r="D417" s="18"/>
    </row>
    <row r="418" spans="1:4" ht="13" x14ac:dyDescent="0.15">
      <c r="A418" s="18"/>
      <c r="B418" s="18"/>
      <c r="C418" s="18"/>
      <c r="D418" s="18"/>
    </row>
    <row r="419" spans="1:4" ht="13" x14ac:dyDescent="0.15">
      <c r="A419" s="18"/>
      <c r="B419" s="18"/>
      <c r="C419" s="18"/>
      <c r="D419" s="18"/>
    </row>
    <row r="420" spans="1:4" ht="13" x14ac:dyDescent="0.15">
      <c r="A420" s="18"/>
      <c r="B420" s="18"/>
      <c r="C420" s="18"/>
      <c r="D420" s="18"/>
    </row>
    <row r="421" spans="1:4" ht="13" x14ac:dyDescent="0.15">
      <c r="A421" s="18"/>
      <c r="B421" s="18"/>
      <c r="C421" s="18"/>
      <c r="D421" s="18"/>
    </row>
    <row r="422" spans="1:4" ht="13" x14ac:dyDescent="0.15">
      <c r="A422" s="18"/>
      <c r="B422" s="18"/>
      <c r="C422" s="18"/>
      <c r="D422" s="18"/>
    </row>
    <row r="423" spans="1:4" ht="13" x14ac:dyDescent="0.15">
      <c r="A423" s="18"/>
      <c r="B423" s="18"/>
      <c r="C423" s="18"/>
      <c r="D423" s="18"/>
    </row>
    <row r="424" spans="1:4" ht="13" x14ac:dyDescent="0.15">
      <c r="A424" s="18"/>
      <c r="B424" s="18"/>
      <c r="C424" s="18"/>
      <c r="D424" s="18"/>
    </row>
    <row r="425" spans="1:4" ht="13" x14ac:dyDescent="0.15">
      <c r="A425" s="18"/>
      <c r="B425" s="18"/>
      <c r="C425" s="18"/>
      <c r="D425" s="18"/>
    </row>
    <row r="426" spans="1:4" ht="13" x14ac:dyDescent="0.15">
      <c r="A426" s="18"/>
      <c r="B426" s="18"/>
      <c r="C426" s="18"/>
      <c r="D426" s="18"/>
    </row>
    <row r="427" spans="1:4" ht="13" x14ac:dyDescent="0.15">
      <c r="A427" s="18"/>
      <c r="B427" s="18"/>
      <c r="C427" s="18"/>
      <c r="D427" s="18"/>
    </row>
    <row r="428" spans="1:4" ht="13" x14ac:dyDescent="0.15">
      <c r="A428" s="18"/>
      <c r="B428" s="18"/>
      <c r="C428" s="18"/>
      <c r="D428" s="18"/>
    </row>
    <row r="429" spans="1:4" ht="13" x14ac:dyDescent="0.15">
      <c r="A429" s="18"/>
      <c r="B429" s="18"/>
      <c r="C429" s="18"/>
      <c r="D429" s="18"/>
    </row>
    <row r="430" spans="1:4" ht="13" x14ac:dyDescent="0.15">
      <c r="A430" s="18"/>
      <c r="B430" s="18"/>
      <c r="C430" s="18"/>
      <c r="D430" s="18"/>
    </row>
    <row r="431" spans="1:4" ht="13" x14ac:dyDescent="0.15">
      <c r="A431" s="18"/>
      <c r="B431" s="18"/>
      <c r="C431" s="18"/>
      <c r="D431" s="18"/>
    </row>
    <row r="432" spans="1:4" ht="13" x14ac:dyDescent="0.15">
      <c r="A432" s="18"/>
      <c r="B432" s="18"/>
      <c r="C432" s="18"/>
      <c r="D432" s="18"/>
    </row>
    <row r="433" spans="1:4" ht="13" x14ac:dyDescent="0.15">
      <c r="A433" s="18"/>
      <c r="B433" s="18"/>
      <c r="C433" s="18"/>
      <c r="D433" s="18"/>
    </row>
    <row r="434" spans="1:4" ht="13" x14ac:dyDescent="0.15">
      <c r="A434" s="18"/>
      <c r="B434" s="18"/>
      <c r="C434" s="18"/>
      <c r="D434" s="18"/>
    </row>
    <row r="435" spans="1:4" ht="13" x14ac:dyDescent="0.15">
      <c r="A435" s="18"/>
      <c r="B435" s="18"/>
      <c r="C435" s="18"/>
      <c r="D435" s="18"/>
    </row>
    <row r="436" spans="1:4" ht="13" x14ac:dyDescent="0.15">
      <c r="A436" s="18"/>
      <c r="B436" s="18"/>
      <c r="C436" s="18"/>
      <c r="D436" s="18"/>
    </row>
    <row r="437" spans="1:4" ht="13" x14ac:dyDescent="0.15">
      <c r="A437" s="18"/>
      <c r="B437" s="18"/>
      <c r="C437" s="18"/>
      <c r="D437" s="18"/>
    </row>
    <row r="438" spans="1:4" ht="13" x14ac:dyDescent="0.15">
      <c r="A438" s="18"/>
      <c r="B438" s="18"/>
      <c r="C438" s="18"/>
      <c r="D438" s="18"/>
    </row>
    <row r="439" spans="1:4" ht="13" x14ac:dyDescent="0.15">
      <c r="A439" s="18"/>
      <c r="B439" s="18"/>
      <c r="C439" s="18"/>
      <c r="D439" s="18"/>
    </row>
    <row r="440" spans="1:4" ht="13" x14ac:dyDescent="0.15">
      <c r="A440" s="18"/>
      <c r="B440" s="18"/>
      <c r="C440" s="18"/>
      <c r="D440" s="18"/>
    </row>
    <row r="441" spans="1:4" ht="13" x14ac:dyDescent="0.15">
      <c r="A441" s="18"/>
      <c r="B441" s="18"/>
      <c r="C441" s="18"/>
      <c r="D441" s="18"/>
    </row>
    <row r="442" spans="1:4" ht="13" x14ac:dyDescent="0.15">
      <c r="A442" s="18"/>
      <c r="B442" s="18"/>
      <c r="C442" s="18"/>
      <c r="D442" s="18"/>
    </row>
    <row r="443" spans="1:4" ht="13" x14ac:dyDescent="0.15">
      <c r="A443" s="18"/>
      <c r="B443" s="18"/>
      <c r="C443" s="18"/>
      <c r="D443" s="18"/>
    </row>
    <row r="444" spans="1:4" ht="13" x14ac:dyDescent="0.15">
      <c r="A444" s="18"/>
      <c r="B444" s="18"/>
      <c r="C444" s="18"/>
      <c r="D444" s="18"/>
    </row>
    <row r="445" spans="1:4" ht="13" x14ac:dyDescent="0.15">
      <c r="A445" s="18"/>
      <c r="B445" s="18"/>
      <c r="C445" s="18"/>
      <c r="D445" s="18"/>
    </row>
    <row r="446" spans="1:4" ht="13" x14ac:dyDescent="0.15">
      <c r="A446" s="18"/>
      <c r="B446" s="18"/>
      <c r="C446" s="18"/>
      <c r="D446" s="18"/>
    </row>
    <row r="447" spans="1:4" ht="13" x14ac:dyDescent="0.15">
      <c r="A447" s="18"/>
      <c r="B447" s="18"/>
      <c r="C447" s="18"/>
      <c r="D447" s="18"/>
    </row>
    <row r="448" spans="1:4" ht="13" x14ac:dyDescent="0.15">
      <c r="A448" s="18"/>
      <c r="B448" s="18"/>
      <c r="C448" s="18"/>
      <c r="D448" s="18"/>
    </row>
    <row r="449" spans="1:4" ht="13" x14ac:dyDescent="0.15">
      <c r="A449" s="18"/>
      <c r="B449" s="18"/>
      <c r="C449" s="18"/>
      <c r="D449" s="18"/>
    </row>
    <row r="450" spans="1:4" ht="13" x14ac:dyDescent="0.15">
      <c r="A450" s="18"/>
      <c r="B450" s="18"/>
      <c r="C450" s="18"/>
      <c r="D450" s="18"/>
    </row>
    <row r="451" spans="1:4" ht="13" x14ac:dyDescent="0.15">
      <c r="A451" s="18"/>
      <c r="B451" s="18"/>
      <c r="C451" s="18"/>
      <c r="D451" s="18"/>
    </row>
    <row r="452" spans="1:4" ht="13" x14ac:dyDescent="0.15">
      <c r="A452" s="18"/>
      <c r="B452" s="18"/>
      <c r="C452" s="18"/>
      <c r="D452" s="18"/>
    </row>
    <row r="453" spans="1:4" ht="13" x14ac:dyDescent="0.15">
      <c r="A453" s="18"/>
      <c r="B453" s="18"/>
      <c r="C453" s="18"/>
      <c r="D453" s="18"/>
    </row>
    <row r="454" spans="1:4" ht="13" x14ac:dyDescent="0.15">
      <c r="A454" s="18"/>
      <c r="B454" s="18"/>
      <c r="C454" s="18"/>
      <c r="D454" s="18"/>
    </row>
    <row r="455" spans="1:4" ht="13" x14ac:dyDescent="0.15">
      <c r="A455" s="18"/>
      <c r="B455" s="18"/>
      <c r="C455" s="18"/>
      <c r="D455" s="18"/>
    </row>
    <row r="456" spans="1:4" ht="13" x14ac:dyDescent="0.15">
      <c r="A456" s="18"/>
      <c r="B456" s="18"/>
      <c r="C456" s="18"/>
      <c r="D456" s="18"/>
    </row>
    <row r="457" spans="1:4" ht="13" x14ac:dyDescent="0.15">
      <c r="A457" s="18"/>
      <c r="B457" s="18"/>
      <c r="C457" s="18"/>
      <c r="D457" s="18"/>
    </row>
    <row r="458" spans="1:4" ht="13" x14ac:dyDescent="0.15">
      <c r="A458" s="18"/>
      <c r="B458" s="18"/>
      <c r="C458" s="18"/>
      <c r="D458" s="18"/>
    </row>
    <row r="459" spans="1:4" ht="13" x14ac:dyDescent="0.15">
      <c r="A459" s="18"/>
      <c r="B459" s="18"/>
      <c r="C459" s="18"/>
      <c r="D459" s="18"/>
    </row>
    <row r="460" spans="1:4" ht="13" x14ac:dyDescent="0.15">
      <c r="A460" s="18"/>
      <c r="B460" s="18"/>
      <c r="C460" s="18"/>
      <c r="D460" s="18"/>
    </row>
    <row r="461" spans="1:4" ht="13" x14ac:dyDescent="0.15">
      <c r="A461" s="18"/>
      <c r="B461" s="18"/>
      <c r="C461" s="18"/>
      <c r="D461" s="18"/>
    </row>
    <row r="462" spans="1:4" ht="13" x14ac:dyDescent="0.15">
      <c r="A462" s="18"/>
      <c r="B462" s="18"/>
      <c r="C462" s="18"/>
      <c r="D462" s="18"/>
    </row>
    <row r="463" spans="1:4" ht="13" x14ac:dyDescent="0.15">
      <c r="A463" s="18"/>
      <c r="B463" s="18"/>
      <c r="C463" s="18"/>
      <c r="D463" s="18"/>
    </row>
    <row r="464" spans="1:4" ht="13" x14ac:dyDescent="0.15">
      <c r="A464" s="18"/>
      <c r="B464" s="18"/>
      <c r="C464" s="18"/>
      <c r="D464" s="18"/>
    </row>
    <row r="465" spans="1:4" ht="13" x14ac:dyDescent="0.15">
      <c r="A465" s="18"/>
      <c r="B465" s="18"/>
      <c r="C465" s="18"/>
      <c r="D465" s="18"/>
    </row>
    <row r="466" spans="1:4" ht="13" x14ac:dyDescent="0.15">
      <c r="A466" s="18"/>
      <c r="B466" s="18"/>
      <c r="C466" s="18"/>
      <c r="D466" s="18"/>
    </row>
    <row r="467" spans="1:4" ht="13" x14ac:dyDescent="0.15">
      <c r="A467" s="18"/>
      <c r="B467" s="18"/>
      <c r="C467" s="18"/>
      <c r="D467" s="18"/>
    </row>
    <row r="468" spans="1:4" ht="13" x14ac:dyDescent="0.15">
      <c r="A468" s="18"/>
      <c r="B468" s="18"/>
      <c r="C468" s="18"/>
      <c r="D468" s="18"/>
    </row>
    <row r="469" spans="1:4" ht="13" x14ac:dyDescent="0.15">
      <c r="A469" s="18"/>
      <c r="B469" s="18"/>
      <c r="C469" s="18"/>
      <c r="D469" s="18"/>
    </row>
    <row r="470" spans="1:4" ht="13" x14ac:dyDescent="0.15">
      <c r="A470" s="18"/>
      <c r="B470" s="18"/>
      <c r="C470" s="18"/>
      <c r="D470" s="18"/>
    </row>
    <row r="471" spans="1:4" ht="13" x14ac:dyDescent="0.15">
      <c r="A471" s="18"/>
      <c r="B471" s="18"/>
      <c r="C471" s="18"/>
      <c r="D471" s="18"/>
    </row>
    <row r="472" spans="1:4" ht="13" x14ac:dyDescent="0.15">
      <c r="A472" s="18"/>
      <c r="B472" s="18"/>
      <c r="C472" s="18"/>
      <c r="D472" s="18"/>
    </row>
    <row r="473" spans="1:4" ht="13" x14ac:dyDescent="0.15">
      <c r="A473" s="18"/>
      <c r="B473" s="18"/>
      <c r="C473" s="18"/>
      <c r="D473" s="18"/>
    </row>
    <row r="474" spans="1:4" ht="13" x14ac:dyDescent="0.15">
      <c r="A474" s="18"/>
      <c r="B474" s="18"/>
      <c r="C474" s="18"/>
      <c r="D474" s="18"/>
    </row>
    <row r="475" spans="1:4" ht="13" x14ac:dyDescent="0.15">
      <c r="A475" s="18"/>
      <c r="B475" s="18"/>
      <c r="C475" s="18"/>
      <c r="D475" s="18"/>
    </row>
    <row r="476" spans="1:4" ht="13" x14ac:dyDescent="0.15">
      <c r="A476" s="18"/>
      <c r="B476" s="18"/>
      <c r="C476" s="18"/>
      <c r="D476" s="18"/>
    </row>
    <row r="477" spans="1:4" ht="13" x14ac:dyDescent="0.15">
      <c r="A477" s="18"/>
      <c r="B477" s="18"/>
      <c r="C477" s="18"/>
      <c r="D477" s="18"/>
    </row>
    <row r="478" spans="1:4" ht="13" x14ac:dyDescent="0.15">
      <c r="A478" s="18"/>
      <c r="B478" s="18"/>
      <c r="C478" s="18"/>
      <c r="D478" s="18"/>
    </row>
    <row r="479" spans="1:4" ht="13" x14ac:dyDescent="0.15">
      <c r="A479" s="18"/>
      <c r="B479" s="18"/>
      <c r="C479" s="18"/>
      <c r="D479" s="18"/>
    </row>
    <row r="480" spans="1:4" ht="13" x14ac:dyDescent="0.15">
      <c r="A480" s="18"/>
      <c r="B480" s="18"/>
      <c r="C480" s="18"/>
      <c r="D480" s="18"/>
    </row>
    <row r="481" spans="1:4" ht="13" x14ac:dyDescent="0.15">
      <c r="A481" s="18"/>
      <c r="B481" s="18"/>
      <c r="C481" s="18"/>
      <c r="D481" s="18"/>
    </row>
    <row r="482" spans="1:4" ht="13" x14ac:dyDescent="0.15">
      <c r="A482" s="18"/>
      <c r="B482" s="18"/>
      <c r="C482" s="18"/>
      <c r="D482" s="18"/>
    </row>
    <row r="483" spans="1:4" ht="13" x14ac:dyDescent="0.15">
      <c r="A483" s="18"/>
      <c r="B483" s="18"/>
      <c r="C483" s="18"/>
      <c r="D483" s="18"/>
    </row>
    <row r="484" spans="1:4" ht="13" x14ac:dyDescent="0.15">
      <c r="A484" s="18"/>
      <c r="B484" s="18"/>
      <c r="C484" s="18"/>
      <c r="D484" s="18"/>
    </row>
    <row r="485" spans="1:4" ht="13" x14ac:dyDescent="0.15">
      <c r="A485" s="18"/>
      <c r="B485" s="18"/>
      <c r="C485" s="18"/>
      <c r="D485" s="18"/>
    </row>
    <row r="486" spans="1:4" ht="13" x14ac:dyDescent="0.15">
      <c r="A486" s="18"/>
      <c r="B486" s="18"/>
      <c r="C486" s="18"/>
      <c r="D486" s="18"/>
    </row>
    <row r="487" spans="1:4" ht="13" x14ac:dyDescent="0.15">
      <c r="A487" s="18"/>
      <c r="B487" s="18"/>
      <c r="C487" s="18"/>
      <c r="D487" s="18"/>
    </row>
    <row r="488" spans="1:4" ht="13" x14ac:dyDescent="0.15">
      <c r="A488" s="18"/>
      <c r="B488" s="18"/>
      <c r="C488" s="18"/>
      <c r="D488" s="18"/>
    </row>
    <row r="489" spans="1:4" ht="13" x14ac:dyDescent="0.15">
      <c r="A489" s="18"/>
      <c r="B489" s="18"/>
      <c r="C489" s="18"/>
      <c r="D489" s="18"/>
    </row>
    <row r="490" spans="1:4" ht="13" x14ac:dyDescent="0.15">
      <c r="A490" s="18"/>
      <c r="B490" s="18"/>
      <c r="C490" s="18"/>
      <c r="D490" s="18"/>
    </row>
    <row r="491" spans="1:4" ht="13" x14ac:dyDescent="0.15">
      <c r="A491" s="18"/>
      <c r="B491" s="18"/>
      <c r="C491" s="18"/>
      <c r="D491" s="18"/>
    </row>
    <row r="492" spans="1:4" ht="13" x14ac:dyDescent="0.15">
      <c r="A492" s="18"/>
      <c r="B492" s="18"/>
      <c r="C492" s="18"/>
      <c r="D492" s="18"/>
    </row>
    <row r="493" spans="1:4" ht="13" x14ac:dyDescent="0.15">
      <c r="A493" s="18"/>
      <c r="B493" s="18"/>
      <c r="C493" s="18"/>
      <c r="D493" s="18"/>
    </row>
    <row r="494" spans="1:4" ht="13" x14ac:dyDescent="0.15">
      <c r="A494" s="18"/>
      <c r="B494" s="18"/>
      <c r="C494" s="18"/>
      <c r="D494" s="18"/>
    </row>
    <row r="495" spans="1:4" ht="13" x14ac:dyDescent="0.15">
      <c r="A495" s="18"/>
      <c r="B495" s="18"/>
      <c r="C495" s="18"/>
      <c r="D495" s="18"/>
    </row>
    <row r="496" spans="1:4" ht="13" x14ac:dyDescent="0.15">
      <c r="A496" s="18"/>
      <c r="B496" s="18"/>
      <c r="C496" s="18"/>
      <c r="D496" s="18"/>
    </row>
    <row r="497" spans="1:4" ht="13" x14ac:dyDescent="0.15">
      <c r="A497" s="18"/>
      <c r="B497" s="18"/>
      <c r="C497" s="18"/>
      <c r="D497" s="18"/>
    </row>
    <row r="498" spans="1:4" ht="13" x14ac:dyDescent="0.15">
      <c r="A498" s="18"/>
      <c r="B498" s="18"/>
      <c r="C498" s="18"/>
      <c r="D498" s="18"/>
    </row>
    <row r="499" spans="1:4" ht="13" x14ac:dyDescent="0.15">
      <c r="A499" s="18"/>
      <c r="B499" s="18"/>
      <c r="C499" s="18"/>
      <c r="D499" s="18"/>
    </row>
    <row r="500" spans="1:4" ht="13" x14ac:dyDescent="0.15">
      <c r="A500" s="18"/>
      <c r="B500" s="18"/>
      <c r="C500" s="18"/>
      <c r="D500" s="18"/>
    </row>
    <row r="501" spans="1:4" ht="13" x14ac:dyDescent="0.15">
      <c r="A501" s="18"/>
      <c r="B501" s="18"/>
      <c r="C501" s="18"/>
      <c r="D501" s="18"/>
    </row>
    <row r="502" spans="1:4" ht="13" x14ac:dyDescent="0.15">
      <c r="A502" s="18"/>
      <c r="B502" s="18"/>
      <c r="C502" s="18"/>
      <c r="D502" s="18"/>
    </row>
    <row r="503" spans="1:4" ht="13" x14ac:dyDescent="0.15">
      <c r="A503" s="18"/>
      <c r="B503" s="18"/>
      <c r="C503" s="18"/>
      <c r="D503" s="18"/>
    </row>
    <row r="504" spans="1:4" ht="13" x14ac:dyDescent="0.15">
      <c r="A504" s="18"/>
      <c r="B504" s="18"/>
      <c r="C504" s="18"/>
      <c r="D504" s="18"/>
    </row>
    <row r="505" spans="1:4" ht="13" x14ac:dyDescent="0.15">
      <c r="A505" s="18"/>
      <c r="B505" s="18"/>
      <c r="C505" s="18"/>
      <c r="D505" s="18"/>
    </row>
    <row r="506" spans="1:4" ht="13" x14ac:dyDescent="0.15">
      <c r="A506" s="18"/>
      <c r="B506" s="18"/>
      <c r="C506" s="18"/>
      <c r="D506" s="18"/>
    </row>
    <row r="507" spans="1:4" ht="13" x14ac:dyDescent="0.15">
      <c r="A507" s="18"/>
      <c r="B507" s="18"/>
      <c r="C507" s="18"/>
      <c r="D507" s="18"/>
    </row>
    <row r="508" spans="1:4" ht="13" x14ac:dyDescent="0.15">
      <c r="A508" s="18"/>
      <c r="B508" s="18"/>
      <c r="C508" s="18"/>
      <c r="D508" s="18"/>
    </row>
    <row r="509" spans="1:4" ht="13" x14ac:dyDescent="0.15">
      <c r="A509" s="18"/>
      <c r="B509" s="18"/>
      <c r="C509" s="18"/>
      <c r="D509" s="18"/>
    </row>
    <row r="510" spans="1:4" ht="13" x14ac:dyDescent="0.15">
      <c r="A510" s="18"/>
      <c r="B510" s="18"/>
      <c r="C510" s="18"/>
      <c r="D510" s="18"/>
    </row>
    <row r="511" spans="1:4" ht="13" x14ac:dyDescent="0.15">
      <c r="A511" s="18"/>
      <c r="B511" s="18"/>
      <c r="C511" s="18"/>
      <c r="D511" s="18"/>
    </row>
    <row r="512" spans="1:4" ht="13" x14ac:dyDescent="0.15">
      <c r="A512" s="18"/>
      <c r="B512" s="18"/>
      <c r="C512" s="18"/>
      <c r="D512" s="18"/>
    </row>
    <row r="513" spans="1:4" ht="13" x14ac:dyDescent="0.15">
      <c r="A513" s="18"/>
      <c r="B513" s="18"/>
      <c r="C513" s="18"/>
      <c r="D513" s="18"/>
    </row>
    <row r="514" spans="1:4" ht="13" x14ac:dyDescent="0.15">
      <c r="A514" s="18"/>
      <c r="B514" s="18"/>
      <c r="C514" s="18"/>
      <c r="D514" s="18"/>
    </row>
    <row r="515" spans="1:4" ht="13" x14ac:dyDescent="0.15">
      <c r="A515" s="18"/>
      <c r="B515" s="18"/>
      <c r="C515" s="18"/>
      <c r="D515" s="18"/>
    </row>
    <row r="516" spans="1:4" ht="13" x14ac:dyDescent="0.15">
      <c r="A516" s="18"/>
      <c r="B516" s="18"/>
      <c r="C516" s="18"/>
      <c r="D516" s="18"/>
    </row>
    <row r="517" spans="1:4" ht="13" x14ac:dyDescent="0.15">
      <c r="A517" s="18"/>
      <c r="B517" s="18"/>
      <c r="C517" s="18"/>
      <c r="D517" s="18"/>
    </row>
    <row r="518" spans="1:4" ht="13" x14ac:dyDescent="0.15">
      <c r="A518" s="18"/>
      <c r="B518" s="18"/>
      <c r="C518" s="18"/>
      <c r="D518" s="18"/>
    </row>
    <row r="519" spans="1:4" ht="13" x14ac:dyDescent="0.15">
      <c r="A519" s="18"/>
      <c r="B519" s="18"/>
      <c r="C519" s="18"/>
      <c r="D519" s="18"/>
    </row>
    <row r="520" spans="1:4" ht="13" x14ac:dyDescent="0.15">
      <c r="A520" s="18"/>
      <c r="B520" s="18"/>
      <c r="C520" s="18"/>
      <c r="D520" s="18"/>
    </row>
    <row r="521" spans="1:4" ht="13" x14ac:dyDescent="0.15">
      <c r="A521" s="18"/>
      <c r="B521" s="18"/>
      <c r="C521" s="18"/>
      <c r="D521" s="18"/>
    </row>
    <row r="522" spans="1:4" ht="13" x14ac:dyDescent="0.15">
      <c r="A522" s="18"/>
      <c r="B522" s="18"/>
      <c r="C522" s="18"/>
      <c r="D522" s="18"/>
    </row>
    <row r="523" spans="1:4" ht="13" x14ac:dyDescent="0.15">
      <c r="A523" s="18"/>
      <c r="B523" s="18"/>
      <c r="C523" s="18"/>
      <c r="D523" s="18"/>
    </row>
    <row r="524" spans="1:4" ht="13" x14ac:dyDescent="0.15">
      <c r="A524" s="18"/>
      <c r="B524" s="18"/>
      <c r="C524" s="18"/>
      <c r="D524" s="18"/>
    </row>
    <row r="525" spans="1:4" ht="13" x14ac:dyDescent="0.15">
      <c r="A525" s="18"/>
      <c r="B525" s="18"/>
      <c r="C525" s="18"/>
      <c r="D525" s="18"/>
    </row>
    <row r="526" spans="1:4" ht="13" x14ac:dyDescent="0.15">
      <c r="A526" s="18"/>
      <c r="B526" s="18"/>
      <c r="C526" s="18"/>
      <c r="D526" s="18"/>
    </row>
    <row r="527" spans="1:4" ht="13" x14ac:dyDescent="0.15">
      <c r="A527" s="18"/>
      <c r="B527" s="18"/>
      <c r="C527" s="18"/>
      <c r="D527" s="18"/>
    </row>
    <row r="528" spans="1:4" ht="13" x14ac:dyDescent="0.15">
      <c r="A528" s="18"/>
      <c r="B528" s="18"/>
      <c r="C528" s="18"/>
      <c r="D528" s="18"/>
    </row>
    <row r="529" spans="1:4" ht="13" x14ac:dyDescent="0.15">
      <c r="A529" s="18"/>
      <c r="B529" s="18"/>
      <c r="C529" s="18"/>
      <c r="D529" s="18"/>
    </row>
    <row r="530" spans="1:4" ht="13" x14ac:dyDescent="0.15">
      <c r="A530" s="18"/>
      <c r="B530" s="18"/>
      <c r="C530" s="18"/>
      <c r="D530" s="18"/>
    </row>
    <row r="531" spans="1:4" ht="13" x14ac:dyDescent="0.15">
      <c r="A531" s="18"/>
      <c r="B531" s="18"/>
      <c r="C531" s="18"/>
      <c r="D531" s="18"/>
    </row>
    <row r="532" spans="1:4" ht="13" x14ac:dyDescent="0.15">
      <c r="A532" s="18"/>
      <c r="B532" s="18"/>
      <c r="C532" s="18"/>
      <c r="D532" s="18"/>
    </row>
    <row r="533" spans="1:4" ht="13" x14ac:dyDescent="0.15">
      <c r="A533" s="18"/>
      <c r="B533" s="18"/>
      <c r="C533" s="18"/>
      <c r="D533" s="18"/>
    </row>
    <row r="534" spans="1:4" ht="13" x14ac:dyDescent="0.15">
      <c r="A534" s="18"/>
      <c r="B534" s="18"/>
      <c r="C534" s="18"/>
      <c r="D534" s="18"/>
    </row>
    <row r="535" spans="1:4" ht="13" x14ac:dyDescent="0.15">
      <c r="A535" s="18"/>
      <c r="B535" s="18"/>
      <c r="C535" s="18"/>
      <c r="D535" s="18"/>
    </row>
    <row r="536" spans="1:4" ht="13" x14ac:dyDescent="0.15">
      <c r="A536" s="18"/>
      <c r="B536" s="18"/>
      <c r="C536" s="18"/>
      <c r="D536" s="18"/>
    </row>
    <row r="537" spans="1:4" ht="13" x14ac:dyDescent="0.15">
      <c r="A537" s="18"/>
      <c r="B537" s="18"/>
      <c r="C537" s="18"/>
      <c r="D537" s="18"/>
    </row>
    <row r="538" spans="1:4" ht="13" x14ac:dyDescent="0.15">
      <c r="A538" s="18"/>
      <c r="B538" s="18"/>
      <c r="C538" s="18"/>
      <c r="D538" s="18"/>
    </row>
    <row r="539" spans="1:4" ht="13" x14ac:dyDescent="0.15">
      <c r="A539" s="18"/>
      <c r="B539" s="18"/>
      <c r="C539" s="18"/>
      <c r="D539" s="18"/>
    </row>
    <row r="540" spans="1:4" ht="13" x14ac:dyDescent="0.15">
      <c r="A540" s="18"/>
      <c r="B540" s="18"/>
      <c r="C540" s="18"/>
      <c r="D540" s="18"/>
    </row>
    <row r="541" spans="1:4" ht="13" x14ac:dyDescent="0.15">
      <c r="A541" s="18"/>
      <c r="B541" s="18"/>
      <c r="C541" s="18"/>
      <c r="D541" s="18"/>
    </row>
    <row r="542" spans="1:4" ht="13" x14ac:dyDescent="0.15">
      <c r="A542" s="18"/>
      <c r="B542" s="18"/>
      <c r="C542" s="18"/>
      <c r="D542" s="18"/>
    </row>
    <row r="543" spans="1:4" ht="13" x14ac:dyDescent="0.15">
      <c r="A543" s="18"/>
      <c r="B543" s="18"/>
      <c r="C543" s="18"/>
      <c r="D543" s="18"/>
    </row>
    <row r="544" spans="1:4" ht="13" x14ac:dyDescent="0.15">
      <c r="A544" s="18"/>
      <c r="B544" s="18"/>
      <c r="C544" s="18"/>
      <c r="D544" s="18"/>
    </row>
    <row r="545" spans="1:4" ht="13" x14ac:dyDescent="0.15">
      <c r="A545" s="18"/>
      <c r="B545" s="18"/>
      <c r="C545" s="18"/>
      <c r="D545" s="18"/>
    </row>
    <row r="546" spans="1:4" ht="13" x14ac:dyDescent="0.15">
      <c r="A546" s="18"/>
      <c r="B546" s="18"/>
      <c r="C546" s="18"/>
      <c r="D546" s="18"/>
    </row>
    <row r="547" spans="1:4" ht="13" x14ac:dyDescent="0.15">
      <c r="A547" s="18"/>
      <c r="B547" s="18"/>
      <c r="C547" s="18"/>
      <c r="D547" s="18"/>
    </row>
    <row r="548" spans="1:4" ht="13" x14ac:dyDescent="0.15">
      <c r="A548" s="18"/>
      <c r="B548" s="18"/>
      <c r="C548" s="18"/>
      <c r="D548" s="18"/>
    </row>
    <row r="549" spans="1:4" ht="13" x14ac:dyDescent="0.15">
      <c r="A549" s="18"/>
      <c r="B549" s="18"/>
      <c r="C549" s="18"/>
      <c r="D549" s="18"/>
    </row>
    <row r="550" spans="1:4" ht="13" x14ac:dyDescent="0.15">
      <c r="A550" s="18"/>
      <c r="B550" s="18"/>
      <c r="C550" s="18"/>
      <c r="D550" s="18"/>
    </row>
    <row r="551" spans="1:4" ht="13" x14ac:dyDescent="0.15">
      <c r="A551" s="18"/>
      <c r="B551" s="18"/>
      <c r="C551" s="18"/>
      <c r="D551" s="18"/>
    </row>
    <row r="552" spans="1:4" ht="13" x14ac:dyDescent="0.15">
      <c r="A552" s="18"/>
      <c r="B552" s="18"/>
      <c r="C552" s="18"/>
      <c r="D552" s="18"/>
    </row>
    <row r="553" spans="1:4" ht="13" x14ac:dyDescent="0.15">
      <c r="A553" s="18"/>
      <c r="B553" s="18"/>
      <c r="C553" s="18"/>
      <c r="D553" s="18"/>
    </row>
    <row r="554" spans="1:4" ht="13" x14ac:dyDescent="0.15">
      <c r="A554" s="18"/>
      <c r="B554" s="18"/>
      <c r="C554" s="18"/>
      <c r="D554" s="18"/>
    </row>
    <row r="555" spans="1:4" ht="13" x14ac:dyDescent="0.15">
      <c r="A555" s="18"/>
      <c r="B555" s="18"/>
      <c r="C555" s="18"/>
      <c r="D555" s="18"/>
    </row>
    <row r="556" spans="1:4" ht="13" x14ac:dyDescent="0.15">
      <c r="A556" s="18"/>
      <c r="B556" s="18"/>
      <c r="C556" s="18"/>
      <c r="D556" s="18"/>
    </row>
    <row r="557" spans="1:4" ht="13" x14ac:dyDescent="0.15">
      <c r="A557" s="18"/>
      <c r="B557" s="18"/>
      <c r="C557" s="18"/>
      <c r="D557" s="18"/>
    </row>
    <row r="558" spans="1:4" ht="13" x14ac:dyDescent="0.15">
      <c r="A558" s="18"/>
      <c r="B558" s="18"/>
      <c r="C558" s="18"/>
      <c r="D558" s="18"/>
    </row>
    <row r="559" spans="1:4" ht="13" x14ac:dyDescent="0.15">
      <c r="A559" s="18"/>
      <c r="B559" s="18"/>
      <c r="C559" s="18"/>
      <c r="D559" s="18"/>
    </row>
    <row r="560" spans="1:4" ht="13" x14ac:dyDescent="0.15">
      <c r="A560" s="18"/>
      <c r="B560" s="18"/>
      <c r="C560" s="18"/>
      <c r="D560" s="18"/>
    </row>
    <row r="561" spans="1:4" ht="13" x14ac:dyDescent="0.15">
      <c r="A561" s="18"/>
      <c r="B561" s="18"/>
      <c r="C561" s="18"/>
      <c r="D561" s="18"/>
    </row>
    <row r="562" spans="1:4" ht="13" x14ac:dyDescent="0.15">
      <c r="A562" s="18"/>
      <c r="B562" s="18"/>
      <c r="C562" s="18"/>
      <c r="D562" s="18"/>
    </row>
    <row r="563" spans="1:4" ht="13" x14ac:dyDescent="0.15">
      <c r="A563" s="18"/>
      <c r="B563" s="18"/>
      <c r="C563" s="18"/>
      <c r="D563" s="18"/>
    </row>
    <row r="564" spans="1:4" ht="13" x14ac:dyDescent="0.15">
      <c r="A564" s="18"/>
      <c r="B564" s="18"/>
      <c r="C564" s="18"/>
      <c r="D564" s="18"/>
    </row>
    <row r="565" spans="1:4" ht="13" x14ac:dyDescent="0.15">
      <c r="A565" s="18"/>
      <c r="B565" s="18"/>
      <c r="C565" s="18"/>
      <c r="D565" s="18"/>
    </row>
    <row r="566" spans="1:4" ht="13" x14ac:dyDescent="0.15">
      <c r="A566" s="18"/>
      <c r="B566" s="18"/>
      <c r="C566" s="18"/>
      <c r="D566" s="18"/>
    </row>
    <row r="567" spans="1:4" ht="13" x14ac:dyDescent="0.15">
      <c r="A567" s="18"/>
      <c r="B567" s="18"/>
      <c r="C567" s="18"/>
      <c r="D567" s="18"/>
    </row>
    <row r="568" spans="1:4" ht="13" x14ac:dyDescent="0.15">
      <c r="A568" s="18"/>
      <c r="B568" s="18"/>
      <c r="C568" s="18"/>
      <c r="D568" s="18"/>
    </row>
    <row r="569" spans="1:4" ht="13" x14ac:dyDescent="0.15">
      <c r="A569" s="18"/>
      <c r="B569" s="18"/>
      <c r="C569" s="18"/>
      <c r="D569" s="18"/>
    </row>
    <row r="570" spans="1:4" ht="13" x14ac:dyDescent="0.15">
      <c r="A570" s="18"/>
      <c r="B570" s="18"/>
      <c r="C570" s="18"/>
      <c r="D570" s="18"/>
    </row>
    <row r="571" spans="1:4" ht="13" x14ac:dyDescent="0.15">
      <c r="A571" s="18"/>
      <c r="B571" s="18"/>
      <c r="C571" s="18"/>
      <c r="D571" s="18"/>
    </row>
    <row r="572" spans="1:4" ht="13" x14ac:dyDescent="0.15">
      <c r="A572" s="18"/>
      <c r="B572" s="18"/>
      <c r="C572" s="18"/>
      <c r="D572" s="18"/>
    </row>
    <row r="573" spans="1:4" ht="13" x14ac:dyDescent="0.15">
      <c r="A573" s="18"/>
      <c r="B573" s="18"/>
      <c r="C573" s="18"/>
      <c r="D573" s="18"/>
    </row>
    <row r="574" spans="1:4" ht="13" x14ac:dyDescent="0.15">
      <c r="A574" s="18"/>
      <c r="B574" s="18"/>
      <c r="C574" s="18"/>
      <c r="D574" s="18"/>
    </row>
    <row r="575" spans="1:4" ht="13" x14ac:dyDescent="0.15">
      <c r="A575" s="18"/>
      <c r="B575" s="18"/>
      <c r="C575" s="18"/>
      <c r="D575" s="18"/>
    </row>
    <row r="576" spans="1:4" ht="13" x14ac:dyDescent="0.15">
      <c r="A576" s="18"/>
      <c r="B576" s="18"/>
      <c r="C576" s="18"/>
      <c r="D576" s="18"/>
    </row>
    <row r="577" spans="1:4" ht="13" x14ac:dyDescent="0.15">
      <c r="A577" s="18"/>
      <c r="B577" s="18"/>
      <c r="C577" s="18"/>
      <c r="D577" s="18"/>
    </row>
    <row r="578" spans="1:4" ht="13" x14ac:dyDescent="0.15">
      <c r="A578" s="18"/>
      <c r="B578" s="18"/>
      <c r="C578" s="18"/>
      <c r="D578" s="18"/>
    </row>
    <row r="579" spans="1:4" ht="13" x14ac:dyDescent="0.15">
      <c r="A579" s="18"/>
      <c r="B579" s="18"/>
      <c r="C579" s="18"/>
      <c r="D579" s="18"/>
    </row>
    <row r="580" spans="1:4" ht="13" x14ac:dyDescent="0.15">
      <c r="A580" s="18"/>
      <c r="B580" s="18"/>
      <c r="C580" s="18"/>
      <c r="D580" s="18"/>
    </row>
    <row r="581" spans="1:4" ht="13" x14ac:dyDescent="0.15">
      <c r="A581" s="18"/>
      <c r="B581" s="18"/>
      <c r="C581" s="18"/>
      <c r="D581" s="18"/>
    </row>
    <row r="582" spans="1:4" ht="13" x14ac:dyDescent="0.15">
      <c r="A582" s="18"/>
      <c r="B582" s="18"/>
      <c r="C582" s="18"/>
      <c r="D582" s="18"/>
    </row>
    <row r="583" spans="1:4" ht="13" x14ac:dyDescent="0.15">
      <c r="A583" s="18"/>
      <c r="B583" s="18"/>
      <c r="C583" s="18"/>
      <c r="D583" s="18"/>
    </row>
    <row r="584" spans="1:4" ht="13" x14ac:dyDescent="0.15">
      <c r="A584" s="18"/>
      <c r="B584" s="18"/>
      <c r="C584" s="18"/>
      <c r="D584" s="18"/>
    </row>
    <row r="585" spans="1:4" ht="13" x14ac:dyDescent="0.15">
      <c r="A585" s="18"/>
      <c r="B585" s="18"/>
      <c r="C585" s="18"/>
      <c r="D585" s="18"/>
    </row>
    <row r="586" spans="1:4" ht="13" x14ac:dyDescent="0.15">
      <c r="A586" s="18"/>
      <c r="B586" s="18"/>
      <c r="C586" s="18"/>
      <c r="D586" s="18"/>
    </row>
    <row r="587" spans="1:4" ht="13" x14ac:dyDescent="0.15">
      <c r="A587" s="18"/>
      <c r="B587" s="18"/>
      <c r="C587" s="18"/>
      <c r="D587" s="18"/>
    </row>
    <row r="588" spans="1:4" ht="13" x14ac:dyDescent="0.15">
      <c r="A588" s="18"/>
      <c r="B588" s="18"/>
      <c r="C588" s="18"/>
      <c r="D588" s="18"/>
    </row>
    <row r="589" spans="1:4" ht="13" x14ac:dyDescent="0.15">
      <c r="A589" s="18"/>
      <c r="B589" s="18"/>
      <c r="C589" s="18"/>
      <c r="D589" s="18"/>
    </row>
    <row r="590" spans="1:4" ht="13" x14ac:dyDescent="0.15">
      <c r="A590" s="18"/>
      <c r="B590" s="18"/>
      <c r="C590" s="18"/>
      <c r="D590" s="18"/>
    </row>
    <row r="591" spans="1:4" ht="13" x14ac:dyDescent="0.15">
      <c r="A591" s="18"/>
      <c r="B591" s="18"/>
      <c r="C591" s="18"/>
      <c r="D591" s="18"/>
    </row>
    <row r="592" spans="1:4" ht="13" x14ac:dyDescent="0.15">
      <c r="A592" s="18"/>
      <c r="B592" s="18"/>
      <c r="C592" s="18"/>
      <c r="D592" s="18"/>
    </row>
    <row r="593" spans="1:4" ht="13" x14ac:dyDescent="0.15">
      <c r="A593" s="18"/>
      <c r="B593" s="18"/>
      <c r="C593" s="18"/>
      <c r="D593" s="18"/>
    </row>
    <row r="594" spans="1:4" ht="13" x14ac:dyDescent="0.15">
      <c r="A594" s="18"/>
      <c r="B594" s="18"/>
      <c r="C594" s="18"/>
      <c r="D594" s="18"/>
    </row>
    <row r="595" spans="1:4" ht="13" x14ac:dyDescent="0.15">
      <c r="A595" s="18"/>
      <c r="B595" s="18"/>
      <c r="C595" s="18"/>
      <c r="D595" s="18"/>
    </row>
    <row r="596" spans="1:4" ht="13" x14ac:dyDescent="0.15">
      <c r="A596" s="18"/>
      <c r="B596" s="18"/>
      <c r="C596" s="18"/>
      <c r="D596" s="18"/>
    </row>
    <row r="597" spans="1:4" ht="13" x14ac:dyDescent="0.15">
      <c r="A597" s="18"/>
      <c r="B597" s="18"/>
      <c r="C597" s="18"/>
      <c r="D597" s="18"/>
    </row>
    <row r="598" spans="1:4" ht="13" x14ac:dyDescent="0.15">
      <c r="A598" s="18"/>
      <c r="B598" s="18"/>
      <c r="C598" s="18"/>
      <c r="D598" s="18"/>
    </row>
    <row r="599" spans="1:4" ht="13" x14ac:dyDescent="0.15">
      <c r="A599" s="18"/>
      <c r="B599" s="18"/>
      <c r="C599" s="18"/>
      <c r="D599" s="18"/>
    </row>
    <row r="600" spans="1:4" ht="13" x14ac:dyDescent="0.15">
      <c r="A600" s="18"/>
      <c r="B600" s="18"/>
      <c r="C600" s="18"/>
      <c r="D600" s="18"/>
    </row>
    <row r="601" spans="1:4" ht="13" x14ac:dyDescent="0.15">
      <c r="A601" s="18"/>
      <c r="B601" s="18"/>
      <c r="C601" s="18"/>
      <c r="D601" s="18"/>
    </row>
    <row r="602" spans="1:4" ht="13" x14ac:dyDescent="0.15">
      <c r="A602" s="18"/>
      <c r="B602" s="18"/>
      <c r="C602" s="18"/>
      <c r="D602" s="18"/>
    </row>
    <row r="603" spans="1:4" ht="13" x14ac:dyDescent="0.15">
      <c r="A603" s="18"/>
      <c r="B603" s="18"/>
      <c r="C603" s="18"/>
      <c r="D603" s="18"/>
    </row>
    <row r="604" spans="1:4" ht="13" x14ac:dyDescent="0.15">
      <c r="A604" s="18"/>
      <c r="B604" s="18"/>
      <c r="C604" s="18"/>
      <c r="D604" s="18"/>
    </row>
    <row r="605" spans="1:4" ht="13" x14ac:dyDescent="0.15">
      <c r="A605" s="18"/>
      <c r="B605" s="18"/>
      <c r="C605" s="18"/>
      <c r="D605" s="18"/>
    </row>
    <row r="606" spans="1:4" ht="13" x14ac:dyDescent="0.15">
      <c r="A606" s="18"/>
      <c r="B606" s="18"/>
      <c r="C606" s="18"/>
      <c r="D606" s="18"/>
    </row>
    <row r="607" spans="1:4" ht="13" x14ac:dyDescent="0.15">
      <c r="A607" s="18"/>
      <c r="B607" s="18"/>
      <c r="C607" s="18"/>
      <c r="D607" s="18"/>
    </row>
    <row r="608" spans="1:4" ht="13" x14ac:dyDescent="0.15">
      <c r="A608" s="18"/>
      <c r="B608" s="18"/>
      <c r="C608" s="18"/>
      <c r="D608" s="18"/>
    </row>
    <row r="609" spans="1:4" ht="13" x14ac:dyDescent="0.15">
      <c r="A609" s="18"/>
      <c r="B609" s="18"/>
      <c r="C609" s="18"/>
      <c r="D609" s="18"/>
    </row>
    <row r="610" spans="1:4" ht="13" x14ac:dyDescent="0.15">
      <c r="A610" s="18"/>
      <c r="B610" s="18"/>
      <c r="C610" s="18"/>
      <c r="D610" s="18"/>
    </row>
    <row r="611" spans="1:4" ht="13" x14ac:dyDescent="0.15">
      <c r="A611" s="18"/>
      <c r="B611" s="18"/>
      <c r="C611" s="18"/>
      <c r="D611" s="18"/>
    </row>
    <row r="612" spans="1:4" ht="13" x14ac:dyDescent="0.15">
      <c r="A612" s="18"/>
      <c r="B612" s="18"/>
      <c r="C612" s="18"/>
      <c r="D612" s="18"/>
    </row>
    <row r="613" spans="1:4" ht="13" x14ac:dyDescent="0.15">
      <c r="A613" s="18"/>
      <c r="B613" s="18"/>
      <c r="C613" s="18"/>
      <c r="D613" s="18"/>
    </row>
    <row r="614" spans="1:4" ht="13" x14ac:dyDescent="0.15">
      <c r="A614" s="18"/>
      <c r="B614" s="18"/>
      <c r="C614" s="18"/>
      <c r="D614" s="18"/>
    </row>
    <row r="615" spans="1:4" ht="13" x14ac:dyDescent="0.15">
      <c r="A615" s="18"/>
      <c r="B615" s="18"/>
      <c r="C615" s="18"/>
      <c r="D615" s="18"/>
    </row>
    <row r="616" spans="1:4" ht="13" x14ac:dyDescent="0.15">
      <c r="A616" s="18"/>
      <c r="B616" s="18"/>
      <c r="C616" s="18"/>
      <c r="D616" s="18"/>
    </row>
    <row r="617" spans="1:4" ht="13" x14ac:dyDescent="0.15">
      <c r="A617" s="18"/>
      <c r="B617" s="18"/>
      <c r="C617" s="18"/>
      <c r="D617" s="18"/>
    </row>
    <row r="618" spans="1:4" ht="13" x14ac:dyDescent="0.15">
      <c r="A618" s="18"/>
      <c r="B618" s="18"/>
      <c r="C618" s="18"/>
      <c r="D618" s="18"/>
    </row>
    <row r="619" spans="1:4" ht="13" x14ac:dyDescent="0.15">
      <c r="A619" s="18"/>
      <c r="B619" s="18"/>
      <c r="C619" s="18"/>
      <c r="D619" s="18"/>
    </row>
    <row r="620" spans="1:4" ht="13" x14ac:dyDescent="0.15">
      <c r="A620" s="18"/>
      <c r="B620" s="18"/>
      <c r="C620" s="18"/>
      <c r="D620" s="18"/>
    </row>
    <row r="621" spans="1:4" ht="13" x14ac:dyDescent="0.15">
      <c r="A621" s="18"/>
      <c r="B621" s="18"/>
      <c r="C621" s="18"/>
      <c r="D621" s="18"/>
    </row>
    <row r="622" spans="1:4" ht="13" x14ac:dyDescent="0.15">
      <c r="A622" s="18"/>
      <c r="B622" s="18"/>
      <c r="C622" s="18"/>
      <c r="D622" s="18"/>
    </row>
    <row r="623" spans="1:4" ht="13" x14ac:dyDescent="0.15">
      <c r="A623" s="18"/>
      <c r="B623" s="18"/>
      <c r="C623" s="18"/>
      <c r="D623" s="18"/>
    </row>
    <row r="624" spans="1:4" ht="13" x14ac:dyDescent="0.15">
      <c r="A624" s="18"/>
      <c r="B624" s="18"/>
      <c r="C624" s="18"/>
      <c r="D624" s="18"/>
    </row>
    <row r="625" spans="1:4" ht="13" x14ac:dyDescent="0.15">
      <c r="A625" s="18"/>
      <c r="B625" s="18"/>
      <c r="C625" s="18"/>
      <c r="D625" s="18"/>
    </row>
    <row r="626" spans="1:4" ht="13" x14ac:dyDescent="0.15">
      <c r="A626" s="18"/>
      <c r="B626" s="18"/>
      <c r="C626" s="18"/>
      <c r="D626" s="18"/>
    </row>
    <row r="627" spans="1:4" ht="13" x14ac:dyDescent="0.15">
      <c r="A627" s="18"/>
      <c r="B627" s="18"/>
      <c r="C627" s="18"/>
      <c r="D627" s="18"/>
    </row>
    <row r="628" spans="1:4" ht="13" x14ac:dyDescent="0.15">
      <c r="A628" s="18"/>
      <c r="B628" s="18"/>
      <c r="C628" s="18"/>
      <c r="D628" s="18"/>
    </row>
    <row r="629" spans="1:4" ht="13" x14ac:dyDescent="0.15">
      <c r="A629" s="18"/>
      <c r="B629" s="18"/>
      <c r="C629" s="18"/>
      <c r="D629" s="18"/>
    </row>
    <row r="630" spans="1:4" ht="13" x14ac:dyDescent="0.15">
      <c r="A630" s="18"/>
      <c r="B630" s="18"/>
      <c r="C630" s="18"/>
      <c r="D630" s="18"/>
    </row>
    <row r="631" spans="1:4" ht="13" x14ac:dyDescent="0.15">
      <c r="A631" s="18"/>
      <c r="B631" s="18"/>
      <c r="C631" s="18"/>
      <c r="D631" s="18"/>
    </row>
    <row r="632" spans="1:4" ht="13" x14ac:dyDescent="0.15">
      <c r="A632" s="18"/>
      <c r="B632" s="18"/>
      <c r="C632" s="18"/>
      <c r="D632" s="18"/>
    </row>
    <row r="633" spans="1:4" ht="13" x14ac:dyDescent="0.15">
      <c r="A633" s="18"/>
      <c r="B633" s="18"/>
      <c r="C633" s="18"/>
      <c r="D633" s="18"/>
    </row>
    <row r="634" spans="1:4" ht="13" x14ac:dyDescent="0.15">
      <c r="A634" s="18"/>
      <c r="B634" s="18"/>
      <c r="C634" s="18"/>
      <c r="D634" s="18"/>
    </row>
    <row r="635" spans="1:4" ht="13" x14ac:dyDescent="0.15">
      <c r="A635" s="18"/>
      <c r="B635" s="18"/>
      <c r="C635" s="18"/>
      <c r="D635" s="18"/>
    </row>
    <row r="636" spans="1:4" ht="13" x14ac:dyDescent="0.15">
      <c r="A636" s="18"/>
      <c r="B636" s="18"/>
      <c r="C636" s="18"/>
      <c r="D636" s="18"/>
    </row>
    <row r="637" spans="1:4" ht="13" x14ac:dyDescent="0.15">
      <c r="A637" s="18"/>
      <c r="B637" s="18"/>
      <c r="C637" s="18"/>
      <c r="D637" s="18"/>
    </row>
    <row r="638" spans="1:4" ht="13" x14ac:dyDescent="0.15">
      <c r="A638" s="18"/>
      <c r="B638" s="18"/>
      <c r="C638" s="18"/>
      <c r="D638" s="18"/>
    </row>
    <row r="639" spans="1:4" ht="13" x14ac:dyDescent="0.15">
      <c r="A639" s="18"/>
      <c r="B639" s="18"/>
      <c r="C639" s="18"/>
      <c r="D639" s="18"/>
    </row>
    <row r="640" spans="1:4" ht="13" x14ac:dyDescent="0.15">
      <c r="A640" s="18"/>
      <c r="B640" s="18"/>
      <c r="C640" s="18"/>
      <c r="D640" s="18"/>
    </row>
    <row r="641" spans="1:4" ht="13" x14ac:dyDescent="0.15">
      <c r="A641" s="18"/>
      <c r="B641" s="18"/>
      <c r="C641" s="18"/>
      <c r="D641" s="18"/>
    </row>
    <row r="642" spans="1:4" ht="13" x14ac:dyDescent="0.15">
      <c r="A642" s="18"/>
      <c r="B642" s="18"/>
      <c r="C642" s="18"/>
      <c r="D642" s="18"/>
    </row>
    <row r="643" spans="1:4" ht="13" x14ac:dyDescent="0.15">
      <c r="A643" s="18"/>
      <c r="B643" s="18"/>
      <c r="C643" s="18"/>
      <c r="D643" s="18"/>
    </row>
    <row r="644" spans="1:4" ht="13" x14ac:dyDescent="0.15">
      <c r="A644" s="18"/>
      <c r="B644" s="18"/>
      <c r="C644" s="18"/>
      <c r="D644" s="18"/>
    </row>
    <row r="645" spans="1:4" ht="13" x14ac:dyDescent="0.15">
      <c r="A645" s="18"/>
      <c r="B645" s="18"/>
      <c r="C645" s="18"/>
      <c r="D645" s="18"/>
    </row>
    <row r="646" spans="1:4" ht="13" x14ac:dyDescent="0.15">
      <c r="A646" s="18"/>
      <c r="B646" s="18"/>
      <c r="C646" s="18"/>
      <c r="D646" s="18"/>
    </row>
    <row r="647" spans="1:4" ht="13" x14ac:dyDescent="0.15">
      <c r="A647" s="18"/>
      <c r="B647" s="18"/>
      <c r="C647" s="18"/>
      <c r="D647" s="18"/>
    </row>
    <row r="648" spans="1:4" ht="13" x14ac:dyDescent="0.15">
      <c r="A648" s="18"/>
      <c r="B648" s="18"/>
      <c r="C648" s="18"/>
      <c r="D648" s="18"/>
    </row>
    <row r="649" spans="1:4" ht="13" x14ac:dyDescent="0.15">
      <c r="A649" s="18"/>
      <c r="B649" s="18"/>
      <c r="C649" s="18"/>
      <c r="D649" s="18"/>
    </row>
    <row r="650" spans="1:4" ht="13" x14ac:dyDescent="0.15">
      <c r="A650" s="18"/>
      <c r="B650" s="18"/>
      <c r="C650" s="18"/>
      <c r="D650" s="18"/>
    </row>
    <row r="651" spans="1:4" ht="13" x14ac:dyDescent="0.15">
      <c r="A651" s="18"/>
      <c r="B651" s="18"/>
      <c r="C651" s="18"/>
      <c r="D651" s="18"/>
    </row>
    <row r="652" spans="1:4" ht="13" x14ac:dyDescent="0.15">
      <c r="A652" s="18"/>
      <c r="B652" s="18"/>
      <c r="C652" s="18"/>
      <c r="D652" s="18"/>
    </row>
    <row r="653" spans="1:4" ht="13" x14ac:dyDescent="0.15">
      <c r="A653" s="18"/>
      <c r="B653" s="18"/>
      <c r="C653" s="18"/>
      <c r="D653" s="18"/>
    </row>
    <row r="654" spans="1:4" ht="13" x14ac:dyDescent="0.15">
      <c r="A654" s="18"/>
      <c r="B654" s="18"/>
      <c r="C654" s="18"/>
      <c r="D654" s="18"/>
    </row>
    <row r="655" spans="1:4" ht="13" x14ac:dyDescent="0.15">
      <c r="A655" s="18"/>
      <c r="B655" s="18"/>
      <c r="C655" s="18"/>
      <c r="D655" s="18"/>
    </row>
    <row r="656" spans="1:4" ht="13" x14ac:dyDescent="0.15">
      <c r="A656" s="18"/>
      <c r="B656" s="18"/>
      <c r="C656" s="18"/>
      <c r="D656" s="18"/>
    </row>
    <row r="657" spans="1:4" ht="13" x14ac:dyDescent="0.15">
      <c r="A657" s="18"/>
      <c r="B657" s="18"/>
      <c r="C657" s="18"/>
      <c r="D657" s="18"/>
    </row>
    <row r="658" spans="1:4" ht="13" x14ac:dyDescent="0.15">
      <c r="A658" s="18"/>
      <c r="B658" s="18"/>
      <c r="C658" s="18"/>
      <c r="D658" s="18"/>
    </row>
    <row r="659" spans="1:4" ht="13" x14ac:dyDescent="0.15">
      <c r="A659" s="18"/>
      <c r="B659" s="18"/>
      <c r="C659" s="18"/>
      <c r="D659" s="18"/>
    </row>
    <row r="660" spans="1:4" ht="13" x14ac:dyDescent="0.15">
      <c r="A660" s="18"/>
      <c r="B660" s="18"/>
      <c r="C660" s="18"/>
      <c r="D660" s="18"/>
    </row>
    <row r="661" spans="1:4" ht="13" x14ac:dyDescent="0.15">
      <c r="A661" s="18"/>
      <c r="B661" s="18"/>
      <c r="C661" s="18"/>
      <c r="D661" s="18"/>
    </row>
    <row r="662" spans="1:4" ht="13" x14ac:dyDescent="0.15">
      <c r="A662" s="18"/>
      <c r="B662" s="18"/>
      <c r="C662" s="18"/>
      <c r="D662" s="18"/>
    </row>
    <row r="663" spans="1:4" ht="13" x14ac:dyDescent="0.15">
      <c r="A663" s="18"/>
      <c r="B663" s="18"/>
      <c r="C663" s="18"/>
      <c r="D663" s="18"/>
    </row>
    <row r="664" spans="1:4" ht="13" x14ac:dyDescent="0.15">
      <c r="A664" s="18"/>
      <c r="B664" s="18"/>
      <c r="C664" s="18"/>
      <c r="D664" s="18"/>
    </row>
    <row r="665" spans="1:4" ht="13" x14ac:dyDescent="0.15">
      <c r="A665" s="18"/>
      <c r="B665" s="18"/>
      <c r="C665" s="18"/>
      <c r="D665" s="18"/>
    </row>
    <row r="666" spans="1:4" ht="13" x14ac:dyDescent="0.15">
      <c r="A666" s="18"/>
      <c r="B666" s="18"/>
      <c r="C666" s="18"/>
      <c r="D666" s="18"/>
    </row>
    <row r="667" spans="1:4" ht="13" x14ac:dyDescent="0.15">
      <c r="A667" s="18"/>
      <c r="B667" s="18"/>
      <c r="C667" s="18"/>
      <c r="D667" s="18"/>
    </row>
    <row r="668" spans="1:4" ht="13" x14ac:dyDescent="0.15">
      <c r="A668" s="18"/>
      <c r="B668" s="18"/>
      <c r="C668" s="18"/>
      <c r="D668" s="18"/>
    </row>
    <row r="669" spans="1:4" ht="13" x14ac:dyDescent="0.15">
      <c r="A669" s="18"/>
      <c r="B669" s="18"/>
      <c r="C669" s="18"/>
      <c r="D669" s="18"/>
    </row>
    <row r="670" spans="1:4" ht="13" x14ac:dyDescent="0.15">
      <c r="A670" s="18"/>
      <c r="B670" s="18"/>
      <c r="C670" s="18"/>
      <c r="D670" s="18"/>
    </row>
    <row r="671" spans="1:4" ht="13" x14ac:dyDescent="0.15">
      <c r="A671" s="18"/>
      <c r="B671" s="18"/>
      <c r="C671" s="18"/>
      <c r="D671" s="18"/>
    </row>
    <row r="672" spans="1:4" ht="13" x14ac:dyDescent="0.15">
      <c r="A672" s="18"/>
      <c r="B672" s="18"/>
      <c r="C672" s="18"/>
      <c r="D672" s="18"/>
    </row>
    <row r="673" spans="1:4" ht="13" x14ac:dyDescent="0.15">
      <c r="A673" s="18"/>
      <c r="B673" s="18"/>
      <c r="C673" s="18"/>
      <c r="D673" s="18"/>
    </row>
    <row r="674" spans="1:4" ht="13" x14ac:dyDescent="0.15">
      <c r="A674" s="18"/>
      <c r="B674" s="18"/>
      <c r="C674" s="18"/>
      <c r="D674" s="18"/>
    </row>
    <row r="675" spans="1:4" ht="13" x14ac:dyDescent="0.15">
      <c r="A675" s="18"/>
      <c r="B675" s="18"/>
      <c r="C675" s="18"/>
      <c r="D675" s="18"/>
    </row>
    <row r="676" spans="1:4" ht="13" x14ac:dyDescent="0.15">
      <c r="A676" s="18"/>
      <c r="B676" s="18"/>
      <c r="C676" s="18"/>
      <c r="D676" s="18"/>
    </row>
    <row r="677" spans="1:4" ht="13" x14ac:dyDescent="0.15">
      <c r="A677" s="18"/>
      <c r="B677" s="18"/>
      <c r="C677" s="18"/>
      <c r="D677" s="18"/>
    </row>
    <row r="678" spans="1:4" ht="13" x14ac:dyDescent="0.15">
      <c r="A678" s="18"/>
      <c r="B678" s="18"/>
      <c r="C678" s="18"/>
      <c r="D678" s="18"/>
    </row>
    <row r="679" spans="1:4" ht="13" x14ac:dyDescent="0.15">
      <c r="A679" s="18"/>
      <c r="B679" s="18"/>
      <c r="C679" s="18"/>
      <c r="D679" s="18"/>
    </row>
    <row r="680" spans="1:4" ht="13" x14ac:dyDescent="0.15">
      <c r="A680" s="18"/>
      <c r="B680" s="18"/>
      <c r="C680" s="18"/>
      <c r="D680" s="18"/>
    </row>
    <row r="681" spans="1:4" ht="13" x14ac:dyDescent="0.15">
      <c r="A681" s="18"/>
      <c r="B681" s="18"/>
      <c r="C681" s="18"/>
      <c r="D681" s="18"/>
    </row>
    <row r="682" spans="1:4" ht="13" x14ac:dyDescent="0.15">
      <c r="A682" s="18"/>
      <c r="B682" s="18"/>
      <c r="C682" s="18"/>
      <c r="D682" s="18"/>
    </row>
    <row r="683" spans="1:4" ht="13" x14ac:dyDescent="0.15">
      <c r="A683" s="18"/>
      <c r="B683" s="18"/>
      <c r="C683" s="18"/>
      <c r="D683" s="18"/>
    </row>
    <row r="684" spans="1:4" ht="13" x14ac:dyDescent="0.15">
      <c r="A684" s="18"/>
      <c r="B684" s="18"/>
      <c r="C684" s="18"/>
      <c r="D684" s="18"/>
    </row>
    <row r="685" spans="1:4" ht="13" x14ac:dyDescent="0.15">
      <c r="A685" s="18"/>
      <c r="B685" s="18"/>
      <c r="C685" s="18"/>
      <c r="D685" s="18"/>
    </row>
    <row r="686" spans="1:4" ht="13" x14ac:dyDescent="0.15">
      <c r="A686" s="18"/>
      <c r="B686" s="18"/>
      <c r="C686" s="18"/>
      <c r="D686" s="18"/>
    </row>
    <row r="687" spans="1:4" ht="13" x14ac:dyDescent="0.15">
      <c r="A687" s="18"/>
      <c r="B687" s="18"/>
      <c r="C687" s="18"/>
      <c r="D687" s="18"/>
    </row>
    <row r="688" spans="1:4" ht="13" x14ac:dyDescent="0.15">
      <c r="A688" s="18"/>
      <c r="B688" s="18"/>
      <c r="C688" s="18"/>
      <c r="D688" s="18"/>
    </row>
    <row r="689" spans="1:4" ht="13" x14ac:dyDescent="0.15">
      <c r="A689" s="18"/>
      <c r="B689" s="18"/>
      <c r="C689" s="18"/>
      <c r="D689" s="18"/>
    </row>
    <row r="690" spans="1:4" ht="13" x14ac:dyDescent="0.15">
      <c r="A690" s="18"/>
      <c r="B690" s="18"/>
      <c r="C690" s="18"/>
      <c r="D690" s="18"/>
    </row>
    <row r="691" spans="1:4" ht="13" x14ac:dyDescent="0.15">
      <c r="A691" s="18"/>
      <c r="B691" s="18"/>
      <c r="C691" s="18"/>
      <c r="D691" s="18"/>
    </row>
    <row r="692" spans="1:4" ht="13" x14ac:dyDescent="0.15">
      <c r="A692" s="18"/>
      <c r="B692" s="18"/>
      <c r="C692" s="18"/>
      <c r="D692" s="18"/>
    </row>
    <row r="693" spans="1:4" ht="13" x14ac:dyDescent="0.15">
      <c r="A693" s="18"/>
      <c r="B693" s="18"/>
      <c r="C693" s="18"/>
      <c r="D693" s="18"/>
    </row>
    <row r="694" spans="1:4" ht="13" x14ac:dyDescent="0.15">
      <c r="A694" s="18"/>
      <c r="B694" s="18"/>
      <c r="C694" s="18"/>
      <c r="D694" s="18"/>
    </row>
    <row r="695" spans="1:4" ht="13" x14ac:dyDescent="0.15">
      <c r="A695" s="18"/>
      <c r="B695" s="18"/>
      <c r="C695" s="18"/>
      <c r="D695" s="18"/>
    </row>
    <row r="696" spans="1:4" ht="13" x14ac:dyDescent="0.15">
      <c r="A696" s="18"/>
      <c r="B696" s="18"/>
      <c r="C696" s="18"/>
      <c r="D696" s="18"/>
    </row>
    <row r="697" spans="1:4" ht="13" x14ac:dyDescent="0.15">
      <c r="A697" s="18"/>
      <c r="B697" s="18"/>
      <c r="C697" s="18"/>
      <c r="D697" s="18"/>
    </row>
    <row r="698" spans="1:4" ht="13" x14ac:dyDescent="0.15">
      <c r="A698" s="18"/>
      <c r="B698" s="18"/>
      <c r="C698" s="18"/>
      <c r="D698" s="18"/>
    </row>
    <row r="699" spans="1:4" ht="13" x14ac:dyDescent="0.15">
      <c r="A699" s="18"/>
      <c r="B699" s="18"/>
      <c r="C699" s="18"/>
      <c r="D699" s="18"/>
    </row>
    <row r="700" spans="1:4" ht="13" x14ac:dyDescent="0.15">
      <c r="A700" s="18"/>
      <c r="B700" s="18"/>
      <c r="C700" s="18"/>
      <c r="D700" s="18"/>
    </row>
    <row r="701" spans="1:4" ht="13" x14ac:dyDescent="0.15">
      <c r="A701" s="18"/>
      <c r="B701" s="18"/>
      <c r="C701" s="18"/>
      <c r="D701" s="18"/>
    </row>
    <row r="702" spans="1:4" ht="13" x14ac:dyDescent="0.15">
      <c r="A702" s="18"/>
      <c r="B702" s="18"/>
      <c r="C702" s="18"/>
      <c r="D702" s="18"/>
    </row>
    <row r="703" spans="1:4" ht="13" x14ac:dyDescent="0.15">
      <c r="A703" s="18"/>
      <c r="B703" s="18"/>
      <c r="C703" s="18"/>
      <c r="D703" s="18"/>
    </row>
    <row r="704" spans="1:4" ht="13" x14ac:dyDescent="0.15">
      <c r="A704" s="18"/>
      <c r="B704" s="18"/>
      <c r="C704" s="18"/>
      <c r="D704" s="18"/>
    </row>
    <row r="705" spans="1:4" ht="13" x14ac:dyDescent="0.15">
      <c r="A705" s="18"/>
      <c r="B705" s="18"/>
      <c r="C705" s="18"/>
      <c r="D705" s="18"/>
    </row>
    <row r="706" spans="1:4" ht="13" x14ac:dyDescent="0.15">
      <c r="A706" s="18"/>
      <c r="B706" s="18"/>
      <c r="C706" s="18"/>
      <c r="D706" s="18"/>
    </row>
    <row r="707" spans="1:4" ht="13" x14ac:dyDescent="0.15">
      <c r="A707" s="18"/>
      <c r="B707" s="18"/>
      <c r="C707" s="18"/>
      <c r="D707" s="18"/>
    </row>
    <row r="708" spans="1:4" ht="13" x14ac:dyDescent="0.15">
      <c r="A708" s="18"/>
      <c r="B708" s="18"/>
      <c r="C708" s="18"/>
      <c r="D708" s="18"/>
    </row>
    <row r="709" spans="1:4" ht="13" x14ac:dyDescent="0.15">
      <c r="A709" s="18"/>
      <c r="B709" s="18"/>
      <c r="C709" s="18"/>
      <c r="D709" s="18"/>
    </row>
    <row r="710" spans="1:4" ht="13" x14ac:dyDescent="0.15">
      <c r="A710" s="18"/>
      <c r="B710" s="18"/>
      <c r="C710" s="18"/>
      <c r="D710" s="18"/>
    </row>
    <row r="711" spans="1:4" ht="13" x14ac:dyDescent="0.15">
      <c r="A711" s="18"/>
      <c r="B711" s="18"/>
      <c r="C711" s="18"/>
      <c r="D711" s="18"/>
    </row>
    <row r="712" spans="1:4" ht="13" x14ac:dyDescent="0.15">
      <c r="A712" s="18"/>
      <c r="B712" s="18"/>
      <c r="C712" s="18"/>
      <c r="D712" s="18"/>
    </row>
    <row r="713" spans="1:4" ht="13" x14ac:dyDescent="0.15">
      <c r="A713" s="18"/>
      <c r="B713" s="18"/>
      <c r="C713" s="18"/>
      <c r="D713" s="18"/>
    </row>
    <row r="714" spans="1:4" ht="13" x14ac:dyDescent="0.15">
      <c r="A714" s="18"/>
      <c r="B714" s="18"/>
      <c r="C714" s="18"/>
      <c r="D714" s="18"/>
    </row>
    <row r="715" spans="1:4" ht="13" x14ac:dyDescent="0.15">
      <c r="A715" s="18"/>
      <c r="B715" s="18"/>
      <c r="C715" s="18"/>
      <c r="D715" s="18"/>
    </row>
    <row r="716" spans="1:4" ht="13" x14ac:dyDescent="0.15">
      <c r="A716" s="18"/>
      <c r="B716" s="18"/>
      <c r="C716" s="18"/>
      <c r="D716" s="18"/>
    </row>
    <row r="717" spans="1:4" ht="13" x14ac:dyDescent="0.15">
      <c r="A717" s="18"/>
      <c r="B717" s="18"/>
      <c r="C717" s="18"/>
      <c r="D717" s="18"/>
    </row>
    <row r="718" spans="1:4" ht="13" x14ac:dyDescent="0.15">
      <c r="A718" s="18"/>
      <c r="B718" s="18"/>
      <c r="C718" s="18"/>
      <c r="D718" s="18"/>
    </row>
    <row r="719" spans="1:4" ht="13" x14ac:dyDescent="0.15">
      <c r="A719" s="18"/>
      <c r="B719" s="18"/>
      <c r="C719" s="18"/>
      <c r="D719" s="18"/>
    </row>
    <row r="720" spans="1:4" ht="13" x14ac:dyDescent="0.15">
      <c r="A720" s="18"/>
      <c r="B720" s="18"/>
      <c r="C720" s="18"/>
      <c r="D720" s="18"/>
    </row>
    <row r="721" spans="1:4" ht="13" x14ac:dyDescent="0.15">
      <c r="A721" s="18"/>
      <c r="B721" s="18"/>
      <c r="C721" s="18"/>
      <c r="D721" s="18"/>
    </row>
    <row r="722" spans="1:4" ht="13" x14ac:dyDescent="0.15">
      <c r="A722" s="18"/>
      <c r="B722" s="18"/>
      <c r="C722" s="18"/>
      <c r="D722" s="18"/>
    </row>
    <row r="723" spans="1:4" ht="13" x14ac:dyDescent="0.15">
      <c r="A723" s="18"/>
      <c r="B723" s="18"/>
      <c r="C723" s="18"/>
      <c r="D723" s="18"/>
    </row>
    <row r="724" spans="1:4" ht="13" x14ac:dyDescent="0.15">
      <c r="A724" s="18"/>
      <c r="B724" s="18"/>
      <c r="C724" s="18"/>
      <c r="D724" s="18"/>
    </row>
    <row r="725" spans="1:4" ht="13" x14ac:dyDescent="0.15">
      <c r="A725" s="18"/>
      <c r="B725" s="18"/>
      <c r="C725" s="18"/>
      <c r="D725" s="18"/>
    </row>
    <row r="726" spans="1:4" ht="13" x14ac:dyDescent="0.15">
      <c r="A726" s="18"/>
      <c r="B726" s="18"/>
      <c r="C726" s="18"/>
      <c r="D726" s="18"/>
    </row>
    <row r="727" spans="1:4" ht="13" x14ac:dyDescent="0.15">
      <c r="A727" s="18"/>
      <c r="B727" s="18"/>
      <c r="C727" s="18"/>
      <c r="D727" s="18"/>
    </row>
    <row r="728" spans="1:4" ht="13" x14ac:dyDescent="0.15">
      <c r="A728" s="18"/>
      <c r="B728" s="18"/>
      <c r="C728" s="18"/>
      <c r="D728" s="18"/>
    </row>
    <row r="729" spans="1:4" ht="13" x14ac:dyDescent="0.15">
      <c r="A729" s="18"/>
      <c r="B729" s="18"/>
      <c r="C729" s="18"/>
      <c r="D729" s="18"/>
    </row>
    <row r="730" spans="1:4" ht="13" x14ac:dyDescent="0.15">
      <c r="A730" s="18"/>
      <c r="B730" s="18"/>
      <c r="C730" s="18"/>
      <c r="D730" s="18"/>
    </row>
    <row r="731" spans="1:4" ht="13" x14ac:dyDescent="0.15">
      <c r="A731" s="18"/>
      <c r="B731" s="18"/>
      <c r="C731" s="18"/>
      <c r="D731" s="18"/>
    </row>
    <row r="732" spans="1:4" ht="13" x14ac:dyDescent="0.15">
      <c r="A732" s="18"/>
      <c r="B732" s="18"/>
      <c r="C732" s="18"/>
      <c r="D732" s="18"/>
    </row>
    <row r="733" spans="1:4" ht="13" x14ac:dyDescent="0.15">
      <c r="A733" s="18"/>
      <c r="B733" s="18"/>
      <c r="C733" s="18"/>
      <c r="D733" s="18"/>
    </row>
    <row r="734" spans="1:4" ht="13" x14ac:dyDescent="0.15">
      <c r="A734" s="18"/>
      <c r="B734" s="18"/>
      <c r="C734" s="18"/>
      <c r="D734" s="18"/>
    </row>
    <row r="735" spans="1:4" ht="13" x14ac:dyDescent="0.15">
      <c r="A735" s="18"/>
      <c r="B735" s="18"/>
      <c r="C735" s="18"/>
      <c r="D735" s="18"/>
    </row>
    <row r="736" spans="1:4" ht="13" x14ac:dyDescent="0.15">
      <c r="A736" s="18"/>
      <c r="B736" s="18"/>
      <c r="C736" s="18"/>
      <c r="D736" s="18"/>
    </row>
    <row r="737" spans="1:4" ht="13" x14ac:dyDescent="0.15">
      <c r="A737" s="18"/>
      <c r="B737" s="18"/>
      <c r="C737" s="18"/>
      <c r="D737" s="18"/>
    </row>
    <row r="738" spans="1:4" ht="13" x14ac:dyDescent="0.15">
      <c r="A738" s="18"/>
      <c r="B738" s="18"/>
      <c r="C738" s="18"/>
      <c r="D738" s="18"/>
    </row>
    <row r="739" spans="1:4" ht="13" x14ac:dyDescent="0.15">
      <c r="A739" s="18"/>
      <c r="B739" s="18"/>
      <c r="C739" s="18"/>
      <c r="D739" s="18"/>
    </row>
    <row r="740" spans="1:4" ht="13" x14ac:dyDescent="0.15">
      <c r="A740" s="18"/>
      <c r="B740" s="18"/>
      <c r="C740" s="18"/>
      <c r="D740" s="18"/>
    </row>
    <row r="741" spans="1:4" ht="13" x14ac:dyDescent="0.15">
      <c r="A741" s="18"/>
      <c r="B741" s="18"/>
      <c r="C741" s="18"/>
      <c r="D741" s="18"/>
    </row>
    <row r="742" spans="1:4" ht="13" x14ac:dyDescent="0.15">
      <c r="A742" s="18"/>
      <c r="B742" s="18"/>
      <c r="C742" s="18"/>
      <c r="D742" s="18"/>
    </row>
    <row r="743" spans="1:4" ht="13" x14ac:dyDescent="0.15">
      <c r="A743" s="18"/>
      <c r="B743" s="18"/>
      <c r="C743" s="18"/>
      <c r="D743" s="18"/>
    </row>
    <row r="744" spans="1:4" ht="13" x14ac:dyDescent="0.15">
      <c r="A744" s="18"/>
      <c r="B744" s="18"/>
      <c r="C744" s="18"/>
      <c r="D744" s="18"/>
    </row>
    <row r="745" spans="1:4" ht="13" x14ac:dyDescent="0.15">
      <c r="A745" s="18"/>
      <c r="B745" s="18"/>
      <c r="C745" s="18"/>
      <c r="D745" s="18"/>
    </row>
    <row r="746" spans="1:4" ht="13" x14ac:dyDescent="0.15">
      <c r="A746" s="18"/>
      <c r="B746" s="18"/>
      <c r="C746" s="18"/>
      <c r="D746" s="18"/>
    </row>
    <row r="747" spans="1:4" ht="13" x14ac:dyDescent="0.15">
      <c r="A747" s="18"/>
      <c r="B747" s="18"/>
      <c r="C747" s="18"/>
      <c r="D747" s="18"/>
    </row>
    <row r="748" spans="1:4" ht="13" x14ac:dyDescent="0.15">
      <c r="A748" s="18"/>
      <c r="B748" s="18"/>
      <c r="C748" s="18"/>
      <c r="D748" s="18"/>
    </row>
    <row r="749" spans="1:4" ht="13" x14ac:dyDescent="0.15">
      <c r="A749" s="18"/>
      <c r="B749" s="18"/>
      <c r="C749" s="18"/>
      <c r="D749" s="18"/>
    </row>
    <row r="750" spans="1:4" ht="13" x14ac:dyDescent="0.15">
      <c r="A750" s="18"/>
      <c r="B750" s="18"/>
      <c r="C750" s="18"/>
      <c r="D750" s="18"/>
    </row>
    <row r="751" spans="1:4" ht="13" x14ac:dyDescent="0.15">
      <c r="A751" s="18"/>
      <c r="B751" s="18"/>
      <c r="C751" s="18"/>
      <c r="D751" s="18"/>
    </row>
    <row r="752" spans="1:4" ht="13" x14ac:dyDescent="0.15">
      <c r="A752" s="18"/>
      <c r="B752" s="18"/>
      <c r="C752" s="18"/>
      <c r="D752" s="18"/>
    </row>
    <row r="753" spans="1:4" ht="13" x14ac:dyDescent="0.15">
      <c r="A753" s="18"/>
      <c r="B753" s="18"/>
      <c r="C753" s="18"/>
      <c r="D753" s="18"/>
    </row>
    <row r="754" spans="1:4" ht="13" x14ac:dyDescent="0.15">
      <c r="A754" s="18"/>
      <c r="B754" s="18"/>
      <c r="C754" s="18"/>
      <c r="D754" s="18"/>
    </row>
    <row r="755" spans="1:4" ht="13" x14ac:dyDescent="0.15">
      <c r="A755" s="18"/>
      <c r="B755" s="18"/>
      <c r="C755" s="18"/>
      <c r="D755" s="18"/>
    </row>
    <row r="756" spans="1:4" ht="13" x14ac:dyDescent="0.15">
      <c r="A756" s="18"/>
      <c r="B756" s="18"/>
      <c r="C756" s="18"/>
      <c r="D756" s="18"/>
    </row>
    <row r="757" spans="1:4" ht="13" x14ac:dyDescent="0.15">
      <c r="A757" s="18"/>
      <c r="B757" s="18"/>
      <c r="C757" s="18"/>
      <c r="D757" s="18"/>
    </row>
    <row r="758" spans="1:4" ht="13" x14ac:dyDescent="0.15">
      <c r="A758" s="18"/>
      <c r="B758" s="18"/>
      <c r="C758" s="18"/>
      <c r="D758" s="18"/>
    </row>
    <row r="759" spans="1:4" ht="13" x14ac:dyDescent="0.15">
      <c r="A759" s="18"/>
      <c r="B759" s="18"/>
      <c r="C759" s="18"/>
      <c r="D759" s="18"/>
    </row>
    <row r="760" spans="1:4" ht="13" x14ac:dyDescent="0.15">
      <c r="A760" s="18"/>
      <c r="B760" s="18"/>
      <c r="C760" s="18"/>
      <c r="D760" s="18"/>
    </row>
    <row r="761" spans="1:4" ht="13" x14ac:dyDescent="0.15">
      <c r="A761" s="18"/>
      <c r="B761" s="18"/>
      <c r="C761" s="18"/>
      <c r="D761" s="18"/>
    </row>
    <row r="762" spans="1:4" ht="13" x14ac:dyDescent="0.15">
      <c r="A762" s="18"/>
      <c r="B762" s="18"/>
      <c r="C762" s="18"/>
      <c r="D762" s="18"/>
    </row>
    <row r="763" spans="1:4" ht="13" x14ac:dyDescent="0.15">
      <c r="A763" s="18"/>
      <c r="B763" s="18"/>
      <c r="C763" s="18"/>
      <c r="D763" s="18"/>
    </row>
    <row r="764" spans="1:4" ht="13" x14ac:dyDescent="0.15">
      <c r="A764" s="18"/>
      <c r="B764" s="18"/>
      <c r="C764" s="18"/>
      <c r="D764" s="18"/>
    </row>
    <row r="765" spans="1:4" ht="13" x14ac:dyDescent="0.15">
      <c r="A765" s="18"/>
      <c r="B765" s="18"/>
      <c r="C765" s="18"/>
      <c r="D765" s="18"/>
    </row>
    <row r="766" spans="1:4" ht="13" x14ac:dyDescent="0.15">
      <c r="A766" s="18"/>
      <c r="B766" s="18"/>
      <c r="C766" s="18"/>
      <c r="D766" s="18"/>
    </row>
    <row r="767" spans="1:4" ht="13" x14ac:dyDescent="0.15">
      <c r="A767" s="18"/>
      <c r="B767" s="18"/>
      <c r="C767" s="18"/>
      <c r="D767" s="18"/>
    </row>
    <row r="768" spans="1:4" ht="13" x14ac:dyDescent="0.15">
      <c r="A768" s="18"/>
      <c r="B768" s="18"/>
      <c r="C768" s="18"/>
      <c r="D768" s="18"/>
    </row>
    <row r="769" spans="1:4" ht="13" x14ac:dyDescent="0.15">
      <c r="A769" s="18"/>
      <c r="B769" s="18"/>
      <c r="C769" s="18"/>
      <c r="D769" s="18"/>
    </row>
    <row r="770" spans="1:4" ht="13" x14ac:dyDescent="0.15">
      <c r="A770" s="18"/>
      <c r="B770" s="18"/>
      <c r="C770" s="18"/>
      <c r="D770" s="18"/>
    </row>
    <row r="771" spans="1:4" ht="13" x14ac:dyDescent="0.15">
      <c r="A771" s="18"/>
      <c r="B771" s="18"/>
      <c r="C771" s="18"/>
      <c r="D771" s="18"/>
    </row>
    <row r="772" spans="1:4" ht="13" x14ac:dyDescent="0.15">
      <c r="A772" s="18"/>
      <c r="B772" s="18"/>
      <c r="C772" s="18"/>
      <c r="D772" s="18"/>
    </row>
    <row r="773" spans="1:4" ht="13" x14ac:dyDescent="0.15">
      <c r="A773" s="18"/>
      <c r="B773" s="18"/>
      <c r="C773" s="18"/>
      <c r="D773" s="18"/>
    </row>
    <row r="774" spans="1:4" ht="13" x14ac:dyDescent="0.15">
      <c r="A774" s="18"/>
      <c r="B774" s="18"/>
      <c r="C774" s="18"/>
      <c r="D774" s="18"/>
    </row>
    <row r="775" spans="1:4" ht="13" x14ac:dyDescent="0.15">
      <c r="A775" s="18"/>
      <c r="B775" s="18"/>
      <c r="C775" s="18"/>
      <c r="D775" s="18"/>
    </row>
    <row r="776" spans="1:4" ht="13" x14ac:dyDescent="0.15">
      <c r="A776" s="18"/>
      <c r="B776" s="18"/>
      <c r="C776" s="18"/>
      <c r="D776" s="18"/>
    </row>
    <row r="777" spans="1:4" ht="13" x14ac:dyDescent="0.15">
      <c r="A777" s="18"/>
      <c r="B777" s="18"/>
      <c r="C777" s="18"/>
      <c r="D777" s="18"/>
    </row>
    <row r="778" spans="1:4" ht="13" x14ac:dyDescent="0.15">
      <c r="A778" s="18"/>
      <c r="B778" s="18"/>
      <c r="C778" s="18"/>
      <c r="D778" s="18"/>
    </row>
    <row r="779" spans="1:4" ht="13" x14ac:dyDescent="0.15">
      <c r="A779" s="18"/>
      <c r="B779" s="18"/>
      <c r="C779" s="18"/>
      <c r="D779" s="18"/>
    </row>
    <row r="780" spans="1:4" ht="13" x14ac:dyDescent="0.15">
      <c r="A780" s="18"/>
      <c r="B780" s="18"/>
      <c r="C780" s="18"/>
      <c r="D780" s="18"/>
    </row>
    <row r="781" spans="1:4" ht="13" x14ac:dyDescent="0.15">
      <c r="A781" s="18"/>
      <c r="B781" s="18"/>
      <c r="C781" s="18"/>
      <c r="D781" s="18"/>
    </row>
    <row r="782" spans="1:4" ht="13" x14ac:dyDescent="0.15">
      <c r="A782" s="18"/>
      <c r="B782" s="18"/>
      <c r="C782" s="18"/>
      <c r="D782" s="18"/>
    </row>
    <row r="783" spans="1:4" ht="13" x14ac:dyDescent="0.15">
      <c r="A783" s="18"/>
      <c r="B783" s="18"/>
      <c r="C783" s="18"/>
      <c r="D783" s="18"/>
    </row>
    <row r="784" spans="1:4" ht="13" x14ac:dyDescent="0.15">
      <c r="A784" s="18"/>
      <c r="B784" s="18"/>
      <c r="C784" s="18"/>
      <c r="D784" s="18"/>
    </row>
    <row r="785" spans="1:4" ht="13" x14ac:dyDescent="0.15">
      <c r="A785" s="18"/>
      <c r="B785" s="18"/>
      <c r="C785" s="18"/>
      <c r="D785" s="18"/>
    </row>
    <row r="786" spans="1:4" ht="13" x14ac:dyDescent="0.15">
      <c r="A786" s="18"/>
      <c r="B786" s="18"/>
      <c r="C786" s="18"/>
      <c r="D786" s="18"/>
    </row>
    <row r="787" spans="1:4" ht="13" x14ac:dyDescent="0.15">
      <c r="A787" s="18"/>
      <c r="B787" s="18"/>
      <c r="C787" s="18"/>
      <c r="D787" s="18"/>
    </row>
    <row r="788" spans="1:4" ht="13" x14ac:dyDescent="0.15">
      <c r="A788" s="18"/>
      <c r="B788" s="18"/>
      <c r="C788" s="18"/>
      <c r="D788" s="18"/>
    </row>
    <row r="789" spans="1:4" ht="13" x14ac:dyDescent="0.15">
      <c r="A789" s="18"/>
      <c r="B789" s="18"/>
      <c r="C789" s="18"/>
      <c r="D789" s="18"/>
    </row>
    <row r="790" spans="1:4" ht="13" x14ac:dyDescent="0.15">
      <c r="A790" s="18"/>
      <c r="B790" s="18"/>
      <c r="C790" s="18"/>
      <c r="D790" s="18"/>
    </row>
    <row r="791" spans="1:4" ht="13" x14ac:dyDescent="0.15">
      <c r="A791" s="18"/>
      <c r="B791" s="18"/>
      <c r="C791" s="18"/>
      <c r="D791" s="18"/>
    </row>
    <row r="792" spans="1:4" ht="13" x14ac:dyDescent="0.15">
      <c r="A792" s="18"/>
      <c r="B792" s="18"/>
      <c r="C792" s="18"/>
      <c r="D792" s="18"/>
    </row>
    <row r="793" spans="1:4" ht="13" x14ac:dyDescent="0.15">
      <c r="A793" s="18"/>
      <c r="B793" s="18"/>
      <c r="C793" s="18"/>
      <c r="D793" s="18"/>
    </row>
    <row r="794" spans="1:4" ht="13" x14ac:dyDescent="0.15">
      <c r="A794" s="18"/>
      <c r="B794" s="18"/>
      <c r="C794" s="18"/>
      <c r="D794" s="18"/>
    </row>
    <row r="795" spans="1:4" ht="13" x14ac:dyDescent="0.15">
      <c r="A795" s="18"/>
      <c r="B795" s="18"/>
      <c r="C795" s="18"/>
      <c r="D795" s="18"/>
    </row>
    <row r="796" spans="1:4" ht="13" x14ac:dyDescent="0.15">
      <c r="A796" s="18"/>
      <c r="B796" s="18"/>
      <c r="C796" s="18"/>
      <c r="D796" s="18"/>
    </row>
    <row r="797" spans="1:4" ht="13" x14ac:dyDescent="0.15">
      <c r="A797" s="18"/>
      <c r="B797" s="18"/>
      <c r="C797" s="18"/>
      <c r="D797" s="18"/>
    </row>
    <row r="798" spans="1:4" ht="13" x14ac:dyDescent="0.15">
      <c r="A798" s="18"/>
      <c r="B798" s="18"/>
      <c r="C798" s="18"/>
      <c r="D798" s="18"/>
    </row>
    <row r="799" spans="1:4" ht="13" x14ac:dyDescent="0.15">
      <c r="A799" s="18"/>
      <c r="B799" s="18"/>
      <c r="C799" s="18"/>
      <c r="D799" s="18"/>
    </row>
    <row r="800" spans="1:4" ht="13" x14ac:dyDescent="0.15">
      <c r="A800" s="18"/>
      <c r="B800" s="18"/>
      <c r="C800" s="18"/>
      <c r="D800" s="18"/>
    </row>
    <row r="801" spans="1:4" ht="13" x14ac:dyDescent="0.15">
      <c r="A801" s="18"/>
      <c r="B801" s="18"/>
      <c r="C801" s="18"/>
      <c r="D801" s="18"/>
    </row>
    <row r="802" spans="1:4" ht="13" x14ac:dyDescent="0.15">
      <c r="A802" s="18"/>
      <c r="B802" s="18"/>
      <c r="C802" s="18"/>
      <c r="D802" s="18"/>
    </row>
    <row r="803" spans="1:4" ht="13" x14ac:dyDescent="0.15">
      <c r="A803" s="18"/>
      <c r="B803" s="18"/>
      <c r="C803" s="18"/>
      <c r="D803" s="18"/>
    </row>
    <row r="804" spans="1:4" ht="13" x14ac:dyDescent="0.15">
      <c r="A804" s="18"/>
      <c r="B804" s="18"/>
      <c r="C804" s="18"/>
      <c r="D804" s="18"/>
    </row>
    <row r="805" spans="1:4" ht="13" x14ac:dyDescent="0.15">
      <c r="A805" s="18"/>
      <c r="B805" s="18"/>
      <c r="C805" s="18"/>
      <c r="D805" s="18"/>
    </row>
    <row r="806" spans="1:4" ht="13" x14ac:dyDescent="0.15">
      <c r="A806" s="18"/>
      <c r="B806" s="18"/>
      <c r="C806" s="18"/>
      <c r="D806" s="18"/>
    </row>
    <row r="807" spans="1:4" ht="13" x14ac:dyDescent="0.15">
      <c r="A807" s="18"/>
      <c r="B807" s="18"/>
      <c r="C807" s="18"/>
      <c r="D807" s="18"/>
    </row>
    <row r="808" spans="1:4" ht="13" x14ac:dyDescent="0.15">
      <c r="A808" s="18"/>
      <c r="B808" s="18"/>
      <c r="C808" s="18"/>
      <c r="D808" s="18"/>
    </row>
    <row r="809" spans="1:4" ht="13" x14ac:dyDescent="0.15">
      <c r="A809" s="18"/>
      <c r="B809" s="18"/>
      <c r="C809" s="18"/>
      <c r="D809" s="18"/>
    </row>
    <row r="810" spans="1:4" ht="13" x14ac:dyDescent="0.15">
      <c r="A810" s="18"/>
      <c r="B810" s="18"/>
      <c r="C810" s="18"/>
      <c r="D810" s="18"/>
    </row>
    <row r="811" spans="1:4" ht="13" x14ac:dyDescent="0.15">
      <c r="A811" s="18"/>
      <c r="B811" s="18"/>
      <c r="C811" s="18"/>
      <c r="D811" s="18"/>
    </row>
    <row r="812" spans="1:4" ht="13" x14ac:dyDescent="0.15">
      <c r="A812" s="18"/>
      <c r="B812" s="18"/>
      <c r="C812" s="18"/>
      <c r="D812" s="18"/>
    </row>
    <row r="813" spans="1:4" ht="13" x14ac:dyDescent="0.15">
      <c r="A813" s="18"/>
      <c r="B813" s="18"/>
      <c r="C813" s="18"/>
      <c r="D813" s="18"/>
    </row>
    <row r="814" spans="1:4" ht="13" x14ac:dyDescent="0.15">
      <c r="A814" s="18"/>
      <c r="B814" s="18"/>
      <c r="C814" s="18"/>
      <c r="D814" s="18"/>
    </row>
    <row r="815" spans="1:4" ht="13" x14ac:dyDescent="0.15">
      <c r="A815" s="18"/>
      <c r="B815" s="18"/>
      <c r="C815" s="18"/>
      <c r="D815" s="18"/>
    </row>
    <row r="816" spans="1:4" ht="13" x14ac:dyDescent="0.15">
      <c r="A816" s="18"/>
      <c r="B816" s="18"/>
      <c r="C816" s="18"/>
      <c r="D816" s="18"/>
    </row>
    <row r="817" spans="1:4" ht="13" x14ac:dyDescent="0.15">
      <c r="A817" s="18"/>
      <c r="B817" s="18"/>
      <c r="C817" s="18"/>
      <c r="D817" s="18"/>
    </row>
    <row r="818" spans="1:4" ht="13" x14ac:dyDescent="0.15">
      <c r="A818" s="18"/>
      <c r="B818" s="18"/>
      <c r="C818" s="18"/>
      <c r="D818" s="18"/>
    </row>
    <row r="819" spans="1:4" ht="13" x14ac:dyDescent="0.15">
      <c r="A819" s="18"/>
      <c r="B819" s="18"/>
      <c r="C819" s="18"/>
      <c r="D819" s="18"/>
    </row>
    <row r="820" spans="1:4" ht="13" x14ac:dyDescent="0.15">
      <c r="A820" s="18"/>
      <c r="B820" s="18"/>
      <c r="C820" s="18"/>
      <c r="D820" s="18"/>
    </row>
    <row r="821" spans="1:4" ht="13" x14ac:dyDescent="0.15">
      <c r="A821" s="18"/>
      <c r="B821" s="18"/>
      <c r="C821" s="18"/>
      <c r="D821" s="18"/>
    </row>
    <row r="822" spans="1:4" ht="13" x14ac:dyDescent="0.15">
      <c r="A822" s="18"/>
      <c r="B822" s="18"/>
      <c r="C822" s="18"/>
      <c r="D822" s="18"/>
    </row>
    <row r="823" spans="1:4" ht="13" x14ac:dyDescent="0.15">
      <c r="A823" s="18"/>
      <c r="B823" s="18"/>
      <c r="C823" s="18"/>
      <c r="D823" s="18"/>
    </row>
    <row r="824" spans="1:4" ht="13" x14ac:dyDescent="0.15">
      <c r="A824" s="18"/>
      <c r="B824" s="18"/>
      <c r="C824" s="18"/>
      <c r="D824" s="18"/>
    </row>
    <row r="825" spans="1:4" ht="13" x14ac:dyDescent="0.15">
      <c r="A825" s="18"/>
      <c r="B825" s="18"/>
      <c r="C825" s="18"/>
      <c r="D825" s="18"/>
    </row>
    <row r="826" spans="1:4" ht="13" x14ac:dyDescent="0.15">
      <c r="A826" s="18"/>
      <c r="B826" s="18"/>
      <c r="C826" s="18"/>
      <c r="D826" s="18"/>
    </row>
    <row r="827" spans="1:4" ht="13" x14ac:dyDescent="0.15">
      <c r="A827" s="18"/>
      <c r="B827" s="18"/>
      <c r="C827" s="18"/>
      <c r="D827" s="18"/>
    </row>
    <row r="828" spans="1:4" ht="13" x14ac:dyDescent="0.15">
      <c r="A828" s="18"/>
      <c r="B828" s="18"/>
      <c r="C828" s="18"/>
      <c r="D828" s="18"/>
    </row>
    <row r="829" spans="1:4" ht="13" x14ac:dyDescent="0.15">
      <c r="A829" s="18"/>
      <c r="B829" s="18"/>
      <c r="C829" s="18"/>
      <c r="D829" s="18"/>
    </row>
    <row r="830" spans="1:4" ht="13" x14ac:dyDescent="0.15">
      <c r="A830" s="18"/>
      <c r="B830" s="18"/>
      <c r="C830" s="18"/>
      <c r="D830" s="18"/>
    </row>
    <row r="831" spans="1:4" ht="13" x14ac:dyDescent="0.15">
      <c r="A831" s="18"/>
      <c r="B831" s="18"/>
      <c r="C831" s="18"/>
      <c r="D831" s="18"/>
    </row>
    <row r="832" spans="1:4" ht="13" x14ac:dyDescent="0.15">
      <c r="A832" s="18"/>
      <c r="B832" s="18"/>
      <c r="C832" s="18"/>
      <c r="D832" s="18"/>
    </row>
    <row r="833" spans="1:4" ht="13" x14ac:dyDescent="0.15">
      <c r="A833" s="18"/>
      <c r="B833" s="18"/>
      <c r="C833" s="18"/>
      <c r="D833" s="18"/>
    </row>
    <row r="834" spans="1:4" ht="13" x14ac:dyDescent="0.15">
      <c r="A834" s="18"/>
      <c r="B834" s="18"/>
      <c r="C834" s="18"/>
      <c r="D834" s="18"/>
    </row>
    <row r="835" spans="1:4" ht="13" x14ac:dyDescent="0.15">
      <c r="A835" s="18"/>
      <c r="B835" s="18"/>
      <c r="C835" s="18"/>
      <c r="D835" s="18"/>
    </row>
    <row r="836" spans="1:4" ht="13" x14ac:dyDescent="0.15">
      <c r="A836" s="18"/>
      <c r="B836" s="18"/>
      <c r="C836" s="18"/>
      <c r="D836" s="18"/>
    </row>
    <row r="837" spans="1:4" ht="13" x14ac:dyDescent="0.15">
      <c r="A837" s="18"/>
      <c r="B837" s="18"/>
      <c r="C837" s="18"/>
      <c r="D837" s="18"/>
    </row>
    <row r="838" spans="1:4" ht="13" x14ac:dyDescent="0.15">
      <c r="A838" s="18"/>
      <c r="B838" s="18"/>
      <c r="C838" s="18"/>
      <c r="D838" s="18"/>
    </row>
    <row r="839" spans="1:4" ht="13" x14ac:dyDescent="0.15">
      <c r="A839" s="18"/>
      <c r="B839" s="18"/>
      <c r="C839" s="18"/>
      <c r="D839" s="18"/>
    </row>
    <row r="840" spans="1:4" ht="13" x14ac:dyDescent="0.15">
      <c r="A840" s="18"/>
      <c r="B840" s="18"/>
      <c r="C840" s="18"/>
      <c r="D840" s="18"/>
    </row>
    <row r="841" spans="1:4" ht="13" x14ac:dyDescent="0.15">
      <c r="A841" s="18"/>
      <c r="B841" s="18"/>
      <c r="C841" s="18"/>
      <c r="D841" s="18"/>
    </row>
    <row r="842" spans="1:4" ht="13" x14ac:dyDescent="0.15">
      <c r="A842" s="18"/>
      <c r="B842" s="18"/>
      <c r="C842" s="18"/>
      <c r="D842" s="18"/>
    </row>
    <row r="843" spans="1:4" ht="13" x14ac:dyDescent="0.15">
      <c r="A843" s="18"/>
      <c r="B843" s="18"/>
      <c r="C843" s="18"/>
      <c r="D843" s="18"/>
    </row>
    <row r="844" spans="1:4" ht="13" x14ac:dyDescent="0.15">
      <c r="A844" s="18"/>
      <c r="B844" s="18"/>
      <c r="C844" s="18"/>
      <c r="D844" s="18"/>
    </row>
    <row r="845" spans="1:4" ht="13" x14ac:dyDescent="0.15">
      <c r="A845" s="18"/>
      <c r="B845" s="18"/>
      <c r="C845" s="18"/>
      <c r="D845" s="18"/>
    </row>
    <row r="846" spans="1:4" ht="13" x14ac:dyDescent="0.15">
      <c r="A846" s="18"/>
      <c r="B846" s="18"/>
      <c r="C846" s="18"/>
      <c r="D846" s="18"/>
    </row>
    <row r="847" spans="1:4" ht="13" x14ac:dyDescent="0.15">
      <c r="A847" s="18"/>
      <c r="B847" s="18"/>
      <c r="C847" s="18"/>
      <c r="D847" s="18"/>
    </row>
    <row r="848" spans="1:4" ht="13" x14ac:dyDescent="0.15">
      <c r="A848" s="18"/>
      <c r="B848" s="18"/>
      <c r="C848" s="18"/>
      <c r="D848" s="18"/>
    </row>
    <row r="849" spans="1:4" ht="13" x14ac:dyDescent="0.15">
      <c r="A849" s="18"/>
      <c r="B849" s="18"/>
      <c r="C849" s="18"/>
      <c r="D849" s="18"/>
    </row>
    <row r="850" spans="1:4" ht="13" x14ac:dyDescent="0.15">
      <c r="A850" s="18"/>
      <c r="B850" s="18"/>
      <c r="C850" s="18"/>
      <c r="D850" s="18"/>
    </row>
    <row r="851" spans="1:4" ht="13" x14ac:dyDescent="0.15">
      <c r="A851" s="18"/>
      <c r="B851" s="18"/>
      <c r="C851" s="18"/>
      <c r="D851" s="18"/>
    </row>
    <row r="852" spans="1:4" ht="13" x14ac:dyDescent="0.15">
      <c r="A852" s="18"/>
      <c r="B852" s="18"/>
      <c r="C852" s="18"/>
      <c r="D852" s="18"/>
    </row>
    <row r="853" spans="1:4" ht="13" x14ac:dyDescent="0.15">
      <c r="A853" s="18"/>
      <c r="B853" s="18"/>
      <c r="C853" s="18"/>
      <c r="D853" s="18"/>
    </row>
    <row r="854" spans="1:4" ht="13" x14ac:dyDescent="0.15">
      <c r="A854" s="18"/>
      <c r="B854" s="18"/>
      <c r="C854" s="18"/>
      <c r="D854" s="18"/>
    </row>
    <row r="855" spans="1:4" ht="13" x14ac:dyDescent="0.15">
      <c r="A855" s="18"/>
      <c r="B855" s="18"/>
      <c r="C855" s="18"/>
      <c r="D855" s="18"/>
    </row>
    <row r="856" spans="1:4" ht="13" x14ac:dyDescent="0.15">
      <c r="A856" s="18"/>
      <c r="B856" s="18"/>
      <c r="C856" s="18"/>
      <c r="D856" s="18"/>
    </row>
    <row r="857" spans="1:4" ht="13" x14ac:dyDescent="0.15">
      <c r="A857" s="18"/>
      <c r="B857" s="18"/>
      <c r="C857" s="18"/>
      <c r="D857" s="18"/>
    </row>
    <row r="858" spans="1:4" ht="13" x14ac:dyDescent="0.15">
      <c r="A858" s="18"/>
      <c r="B858" s="18"/>
      <c r="C858" s="18"/>
      <c r="D858" s="18"/>
    </row>
    <row r="859" spans="1:4" ht="13" x14ac:dyDescent="0.15">
      <c r="A859" s="18"/>
      <c r="B859" s="18"/>
      <c r="C859" s="18"/>
      <c r="D859" s="18"/>
    </row>
    <row r="860" spans="1:4" ht="13" x14ac:dyDescent="0.15">
      <c r="A860" s="18"/>
      <c r="B860" s="18"/>
      <c r="C860" s="18"/>
      <c r="D860" s="18"/>
    </row>
    <row r="861" spans="1:4" ht="13" x14ac:dyDescent="0.15">
      <c r="A861" s="18"/>
      <c r="B861" s="18"/>
      <c r="C861" s="18"/>
      <c r="D861" s="18"/>
    </row>
    <row r="862" spans="1:4" ht="13" x14ac:dyDescent="0.15">
      <c r="A862" s="18"/>
      <c r="B862" s="18"/>
      <c r="C862" s="18"/>
      <c r="D862" s="18"/>
    </row>
    <row r="863" spans="1:4" ht="13" x14ac:dyDescent="0.15">
      <c r="A863" s="18"/>
      <c r="B863" s="18"/>
      <c r="C863" s="18"/>
      <c r="D863" s="18"/>
    </row>
    <row r="864" spans="1:4" ht="13" x14ac:dyDescent="0.15">
      <c r="A864" s="18"/>
      <c r="B864" s="18"/>
      <c r="C864" s="18"/>
      <c r="D864" s="18"/>
    </row>
    <row r="865" spans="1:4" ht="13" x14ac:dyDescent="0.15">
      <c r="A865" s="18"/>
      <c r="B865" s="18"/>
      <c r="C865" s="18"/>
      <c r="D865" s="18"/>
    </row>
    <row r="866" spans="1:4" ht="13" x14ac:dyDescent="0.15">
      <c r="A866" s="18"/>
      <c r="B866" s="18"/>
      <c r="C866" s="18"/>
      <c r="D866" s="18"/>
    </row>
    <row r="867" spans="1:4" ht="13" x14ac:dyDescent="0.15">
      <c r="A867" s="18"/>
      <c r="B867" s="18"/>
      <c r="C867" s="18"/>
      <c r="D867" s="18"/>
    </row>
    <row r="868" spans="1:4" ht="13" x14ac:dyDescent="0.15">
      <c r="A868" s="18"/>
      <c r="B868" s="18"/>
      <c r="C868" s="18"/>
      <c r="D868" s="18"/>
    </row>
    <row r="869" spans="1:4" ht="13" x14ac:dyDescent="0.15">
      <c r="A869" s="18"/>
      <c r="B869" s="18"/>
      <c r="C869" s="18"/>
      <c r="D869" s="18"/>
    </row>
    <row r="870" spans="1:4" ht="13" x14ac:dyDescent="0.15">
      <c r="A870" s="18"/>
      <c r="B870" s="18"/>
      <c r="C870" s="18"/>
      <c r="D870" s="18"/>
    </row>
    <row r="871" spans="1:4" ht="13" x14ac:dyDescent="0.15">
      <c r="A871" s="18"/>
      <c r="B871" s="18"/>
      <c r="C871" s="18"/>
      <c r="D871" s="18"/>
    </row>
    <row r="872" spans="1:4" ht="13" x14ac:dyDescent="0.15">
      <c r="A872" s="18"/>
      <c r="B872" s="18"/>
      <c r="C872" s="18"/>
      <c r="D872" s="18"/>
    </row>
    <row r="873" spans="1:4" ht="13" x14ac:dyDescent="0.15">
      <c r="A873" s="18"/>
      <c r="B873" s="18"/>
      <c r="C873" s="18"/>
      <c r="D873" s="18"/>
    </row>
    <row r="874" spans="1:4" ht="13" x14ac:dyDescent="0.15">
      <c r="A874" s="18"/>
      <c r="B874" s="18"/>
      <c r="C874" s="18"/>
      <c r="D874" s="18"/>
    </row>
    <row r="875" spans="1:4" ht="13" x14ac:dyDescent="0.15">
      <c r="A875" s="18"/>
      <c r="B875" s="18"/>
      <c r="C875" s="18"/>
      <c r="D875" s="18"/>
    </row>
    <row r="876" spans="1:4" ht="13" x14ac:dyDescent="0.15">
      <c r="A876" s="18"/>
      <c r="B876" s="18"/>
      <c r="C876" s="18"/>
      <c r="D876" s="18"/>
    </row>
    <row r="877" spans="1:4" ht="13" x14ac:dyDescent="0.15">
      <c r="A877" s="18"/>
      <c r="B877" s="18"/>
      <c r="C877" s="18"/>
      <c r="D877" s="18"/>
    </row>
    <row r="878" spans="1:4" ht="13" x14ac:dyDescent="0.15">
      <c r="A878" s="18"/>
      <c r="B878" s="18"/>
      <c r="C878" s="18"/>
      <c r="D878" s="18"/>
    </row>
    <row r="879" spans="1:4" ht="13" x14ac:dyDescent="0.15">
      <c r="A879" s="18"/>
      <c r="B879" s="18"/>
      <c r="C879" s="18"/>
      <c r="D879" s="18"/>
    </row>
    <row r="880" spans="1:4" ht="13" x14ac:dyDescent="0.15">
      <c r="A880" s="18"/>
      <c r="B880" s="18"/>
      <c r="C880" s="18"/>
      <c r="D880" s="18"/>
    </row>
    <row r="881" spans="1:4" ht="13" x14ac:dyDescent="0.15">
      <c r="A881" s="18"/>
      <c r="B881" s="18"/>
      <c r="C881" s="18"/>
      <c r="D881" s="18"/>
    </row>
    <row r="882" spans="1:4" ht="13" x14ac:dyDescent="0.15">
      <c r="A882" s="18"/>
      <c r="B882" s="18"/>
      <c r="C882" s="18"/>
      <c r="D882" s="18"/>
    </row>
    <row r="883" spans="1:4" ht="13" x14ac:dyDescent="0.15">
      <c r="A883" s="18"/>
      <c r="B883" s="18"/>
      <c r="C883" s="18"/>
      <c r="D883" s="18"/>
    </row>
    <row r="884" spans="1:4" ht="13" x14ac:dyDescent="0.15">
      <c r="A884" s="18"/>
      <c r="B884" s="18"/>
      <c r="C884" s="18"/>
      <c r="D884" s="18"/>
    </row>
    <row r="885" spans="1:4" ht="13" x14ac:dyDescent="0.15">
      <c r="A885" s="18"/>
      <c r="B885" s="18"/>
      <c r="C885" s="18"/>
      <c r="D885" s="18"/>
    </row>
    <row r="886" spans="1:4" ht="13" x14ac:dyDescent="0.15">
      <c r="A886" s="18"/>
      <c r="B886" s="18"/>
      <c r="C886" s="18"/>
      <c r="D886" s="18"/>
    </row>
    <row r="887" spans="1:4" ht="13" x14ac:dyDescent="0.15">
      <c r="A887" s="18"/>
      <c r="B887" s="18"/>
      <c r="C887" s="18"/>
      <c r="D887" s="18"/>
    </row>
    <row r="888" spans="1:4" ht="13" x14ac:dyDescent="0.15">
      <c r="A888" s="18"/>
      <c r="B888" s="18"/>
      <c r="C888" s="18"/>
      <c r="D888" s="18"/>
    </row>
    <row r="889" spans="1:4" ht="13" x14ac:dyDescent="0.15">
      <c r="A889" s="18"/>
      <c r="B889" s="18"/>
      <c r="C889" s="18"/>
      <c r="D889" s="18"/>
    </row>
    <row r="890" spans="1:4" ht="13" x14ac:dyDescent="0.15">
      <c r="A890" s="18"/>
      <c r="B890" s="18"/>
      <c r="C890" s="18"/>
      <c r="D890" s="18"/>
    </row>
    <row r="891" spans="1:4" ht="13" x14ac:dyDescent="0.15">
      <c r="A891" s="18"/>
      <c r="B891" s="18"/>
      <c r="C891" s="18"/>
      <c r="D891" s="18"/>
    </row>
    <row r="892" spans="1:4" ht="13" x14ac:dyDescent="0.15">
      <c r="A892" s="18"/>
      <c r="B892" s="18"/>
      <c r="C892" s="18"/>
      <c r="D892" s="18"/>
    </row>
    <row r="893" spans="1:4" ht="13" x14ac:dyDescent="0.15">
      <c r="A893" s="18"/>
      <c r="B893" s="18"/>
      <c r="C893" s="18"/>
      <c r="D893" s="18"/>
    </row>
    <row r="894" spans="1:4" ht="13" x14ac:dyDescent="0.15">
      <c r="A894" s="18"/>
      <c r="B894" s="18"/>
      <c r="C894" s="18"/>
      <c r="D894" s="18"/>
    </row>
    <row r="895" spans="1:4" ht="13" x14ac:dyDescent="0.15">
      <c r="A895" s="18"/>
      <c r="B895" s="18"/>
      <c r="C895" s="18"/>
      <c r="D895" s="18"/>
    </row>
    <row r="896" spans="1:4" ht="13" x14ac:dyDescent="0.15">
      <c r="A896" s="18"/>
      <c r="B896" s="18"/>
      <c r="C896" s="18"/>
      <c r="D896" s="18"/>
    </row>
    <row r="897" spans="1:4" ht="13" x14ac:dyDescent="0.15">
      <c r="A897" s="18"/>
      <c r="B897" s="18"/>
      <c r="C897" s="18"/>
      <c r="D897" s="18"/>
    </row>
    <row r="898" spans="1:4" ht="13" x14ac:dyDescent="0.15">
      <c r="A898" s="18"/>
      <c r="B898" s="18"/>
      <c r="C898" s="18"/>
      <c r="D898" s="18"/>
    </row>
    <row r="899" spans="1:4" ht="13" x14ac:dyDescent="0.15">
      <c r="A899" s="18"/>
      <c r="B899" s="18"/>
      <c r="C899" s="18"/>
      <c r="D899" s="18"/>
    </row>
    <row r="900" spans="1:4" ht="13" x14ac:dyDescent="0.15">
      <c r="A900" s="18"/>
      <c r="B900" s="18"/>
      <c r="C900" s="18"/>
      <c r="D900" s="18"/>
    </row>
    <row r="901" spans="1:4" ht="13" x14ac:dyDescent="0.15">
      <c r="A901" s="18"/>
      <c r="B901" s="18"/>
      <c r="C901" s="18"/>
      <c r="D901" s="18"/>
    </row>
    <row r="902" spans="1:4" ht="13" x14ac:dyDescent="0.15">
      <c r="A902" s="18"/>
      <c r="B902" s="18"/>
      <c r="C902" s="18"/>
      <c r="D902" s="18"/>
    </row>
    <row r="903" spans="1:4" ht="13" x14ac:dyDescent="0.15">
      <c r="A903" s="18"/>
      <c r="B903" s="18"/>
      <c r="C903" s="18"/>
      <c r="D903" s="18"/>
    </row>
    <row r="904" spans="1:4" ht="13" x14ac:dyDescent="0.15">
      <c r="A904" s="18"/>
      <c r="B904" s="18"/>
      <c r="C904" s="18"/>
      <c r="D904" s="18"/>
    </row>
    <row r="905" spans="1:4" ht="13" x14ac:dyDescent="0.15">
      <c r="A905" s="18"/>
      <c r="B905" s="18"/>
      <c r="C905" s="18"/>
      <c r="D905" s="18"/>
    </row>
    <row r="906" spans="1:4" ht="13" x14ac:dyDescent="0.15">
      <c r="A906" s="18"/>
      <c r="B906" s="18"/>
      <c r="C906" s="18"/>
      <c r="D906" s="18"/>
    </row>
    <row r="907" spans="1:4" ht="13" x14ac:dyDescent="0.15">
      <c r="A907" s="18"/>
      <c r="B907" s="18"/>
      <c r="C907" s="18"/>
      <c r="D907" s="18"/>
    </row>
    <row r="908" spans="1:4" ht="13" x14ac:dyDescent="0.15">
      <c r="A908" s="18"/>
      <c r="B908" s="18"/>
      <c r="C908" s="18"/>
      <c r="D908" s="18"/>
    </row>
    <row r="909" spans="1:4" ht="13" x14ac:dyDescent="0.15">
      <c r="A909" s="18"/>
      <c r="B909" s="18"/>
      <c r="C909" s="18"/>
      <c r="D909" s="18"/>
    </row>
    <row r="910" spans="1:4" ht="13" x14ac:dyDescent="0.15">
      <c r="A910" s="18"/>
      <c r="B910" s="18"/>
      <c r="C910" s="18"/>
      <c r="D910" s="18"/>
    </row>
    <row r="911" spans="1:4" ht="13" x14ac:dyDescent="0.15">
      <c r="A911" s="18"/>
      <c r="B911" s="18"/>
      <c r="C911" s="18"/>
      <c r="D911" s="18"/>
    </row>
    <row r="912" spans="1:4" ht="13" x14ac:dyDescent="0.15">
      <c r="A912" s="18"/>
      <c r="B912" s="18"/>
      <c r="C912" s="18"/>
      <c r="D912" s="18"/>
    </row>
    <row r="913" spans="1:4" ht="13" x14ac:dyDescent="0.15">
      <c r="A913" s="18"/>
      <c r="B913" s="18"/>
      <c r="C913" s="18"/>
      <c r="D913" s="18"/>
    </row>
    <row r="914" spans="1:4" ht="13" x14ac:dyDescent="0.15">
      <c r="A914" s="18"/>
      <c r="B914" s="18"/>
      <c r="C914" s="18"/>
      <c r="D914" s="18"/>
    </row>
    <row r="915" spans="1:4" ht="13" x14ac:dyDescent="0.15">
      <c r="A915" s="18"/>
      <c r="B915" s="18"/>
      <c r="C915" s="18"/>
      <c r="D915" s="18"/>
    </row>
    <row r="916" spans="1:4" ht="13" x14ac:dyDescent="0.15">
      <c r="A916" s="18"/>
      <c r="B916" s="18"/>
      <c r="C916" s="18"/>
      <c r="D916" s="18"/>
    </row>
    <row r="917" spans="1:4" ht="13" x14ac:dyDescent="0.15">
      <c r="A917" s="18"/>
      <c r="B917" s="18"/>
      <c r="C917" s="18"/>
      <c r="D917" s="18"/>
    </row>
    <row r="918" spans="1:4" ht="13" x14ac:dyDescent="0.15">
      <c r="A918" s="18"/>
      <c r="B918" s="18"/>
      <c r="C918" s="18"/>
      <c r="D918" s="18"/>
    </row>
    <row r="919" spans="1:4" ht="13" x14ac:dyDescent="0.15">
      <c r="A919" s="18"/>
      <c r="B919" s="18"/>
      <c r="C919" s="18"/>
      <c r="D919" s="18"/>
    </row>
    <row r="920" spans="1:4" ht="13" x14ac:dyDescent="0.15">
      <c r="A920" s="18"/>
      <c r="B920" s="18"/>
      <c r="C920" s="18"/>
      <c r="D920" s="18"/>
    </row>
    <row r="921" spans="1:4" ht="13" x14ac:dyDescent="0.15">
      <c r="A921" s="18"/>
      <c r="B921" s="18"/>
      <c r="C921" s="18"/>
      <c r="D921" s="18"/>
    </row>
    <row r="922" spans="1:4" ht="13" x14ac:dyDescent="0.15">
      <c r="A922" s="18"/>
      <c r="B922" s="18"/>
      <c r="C922" s="18"/>
      <c r="D922" s="18"/>
    </row>
    <row r="923" spans="1:4" ht="13" x14ac:dyDescent="0.15">
      <c r="A923" s="18"/>
      <c r="B923" s="18"/>
      <c r="C923" s="18"/>
      <c r="D923" s="18"/>
    </row>
    <row r="924" spans="1:4" ht="13" x14ac:dyDescent="0.15">
      <c r="A924" s="18"/>
      <c r="B924" s="18"/>
      <c r="C924" s="18"/>
      <c r="D924" s="18"/>
    </row>
    <row r="925" spans="1:4" ht="13" x14ac:dyDescent="0.15">
      <c r="A925" s="18"/>
      <c r="B925" s="18"/>
      <c r="C925" s="18"/>
      <c r="D925" s="18"/>
    </row>
    <row r="926" spans="1:4" ht="13" x14ac:dyDescent="0.15">
      <c r="A926" s="18"/>
      <c r="B926" s="18"/>
      <c r="C926" s="18"/>
      <c r="D926" s="18"/>
    </row>
    <row r="927" spans="1:4" ht="13" x14ac:dyDescent="0.15">
      <c r="A927" s="18"/>
      <c r="B927" s="18"/>
      <c r="C927" s="18"/>
      <c r="D927" s="18"/>
    </row>
    <row r="928" spans="1:4" ht="13" x14ac:dyDescent="0.15">
      <c r="A928" s="18"/>
      <c r="B928" s="18"/>
      <c r="C928" s="18"/>
      <c r="D928" s="18"/>
    </row>
    <row r="929" spans="1:4" ht="13" x14ac:dyDescent="0.15">
      <c r="A929" s="18"/>
      <c r="B929" s="18"/>
      <c r="C929" s="18"/>
      <c r="D929" s="18"/>
    </row>
    <row r="930" spans="1:4" ht="13" x14ac:dyDescent="0.15">
      <c r="A930" s="18"/>
      <c r="B930" s="18"/>
      <c r="C930" s="18"/>
      <c r="D930" s="18"/>
    </row>
    <row r="931" spans="1:4" ht="13" x14ac:dyDescent="0.15">
      <c r="A931" s="18"/>
      <c r="B931" s="18"/>
      <c r="C931" s="18"/>
      <c r="D931" s="18"/>
    </row>
    <row r="932" spans="1:4" ht="13" x14ac:dyDescent="0.15">
      <c r="A932" s="18"/>
      <c r="B932" s="18"/>
      <c r="C932" s="18"/>
      <c r="D932" s="18"/>
    </row>
    <row r="933" spans="1:4" ht="13" x14ac:dyDescent="0.15">
      <c r="A933" s="18"/>
      <c r="B933" s="18"/>
      <c r="C933" s="18"/>
      <c r="D933" s="18"/>
    </row>
    <row r="934" spans="1:4" ht="13" x14ac:dyDescent="0.15">
      <c r="A934" s="18"/>
      <c r="B934" s="18"/>
      <c r="C934" s="18"/>
      <c r="D934" s="18"/>
    </row>
    <row r="935" spans="1:4" ht="13" x14ac:dyDescent="0.15">
      <c r="A935" s="18"/>
      <c r="B935" s="18"/>
      <c r="C935" s="18"/>
      <c r="D935" s="18"/>
    </row>
    <row r="936" spans="1:4" ht="13" x14ac:dyDescent="0.15">
      <c r="A936" s="18"/>
      <c r="B936" s="18"/>
      <c r="C936" s="18"/>
      <c r="D936" s="18"/>
    </row>
    <row r="937" spans="1:4" ht="13" x14ac:dyDescent="0.15">
      <c r="A937" s="18"/>
      <c r="B937" s="18"/>
      <c r="C937" s="18"/>
      <c r="D937" s="18"/>
    </row>
    <row r="938" spans="1:4" ht="13" x14ac:dyDescent="0.15">
      <c r="A938" s="18"/>
      <c r="B938" s="18"/>
      <c r="C938" s="18"/>
      <c r="D938" s="18"/>
    </row>
    <row r="939" spans="1:4" ht="13" x14ac:dyDescent="0.15">
      <c r="A939" s="18"/>
      <c r="B939" s="18"/>
      <c r="C939" s="18"/>
      <c r="D939" s="18"/>
    </row>
    <row r="940" spans="1:4" ht="13" x14ac:dyDescent="0.15">
      <c r="A940" s="18"/>
      <c r="B940" s="18"/>
      <c r="C940" s="18"/>
      <c r="D940" s="18"/>
    </row>
    <row r="941" spans="1:4" ht="13" x14ac:dyDescent="0.15">
      <c r="A941" s="18"/>
      <c r="B941" s="18"/>
      <c r="C941" s="18"/>
      <c r="D941" s="18"/>
    </row>
    <row r="942" spans="1:4" ht="13" x14ac:dyDescent="0.15">
      <c r="A942" s="18"/>
      <c r="B942" s="18"/>
      <c r="C942" s="18"/>
      <c r="D942" s="18"/>
    </row>
    <row r="943" spans="1:4" ht="13" x14ac:dyDescent="0.15">
      <c r="A943" s="18"/>
      <c r="B943" s="18"/>
      <c r="C943" s="18"/>
      <c r="D943" s="18"/>
    </row>
    <row r="944" spans="1:4" ht="13" x14ac:dyDescent="0.15">
      <c r="A944" s="18"/>
      <c r="B944" s="18"/>
      <c r="C944" s="18"/>
      <c r="D944" s="18"/>
    </row>
    <row r="945" spans="1:4" ht="13" x14ac:dyDescent="0.15">
      <c r="A945" s="18"/>
      <c r="B945" s="18"/>
      <c r="C945" s="18"/>
      <c r="D945" s="18"/>
    </row>
    <row r="946" spans="1:4" ht="13" x14ac:dyDescent="0.15">
      <c r="A946" s="18"/>
      <c r="B946" s="18"/>
      <c r="C946" s="18"/>
      <c r="D946" s="18"/>
    </row>
    <row r="947" spans="1:4" ht="13" x14ac:dyDescent="0.15">
      <c r="A947" s="18"/>
      <c r="B947" s="18"/>
      <c r="C947" s="18"/>
      <c r="D947" s="18"/>
    </row>
    <row r="948" spans="1:4" ht="13" x14ac:dyDescent="0.15">
      <c r="A948" s="18"/>
      <c r="B948" s="18"/>
      <c r="C948" s="18"/>
      <c r="D948" s="18"/>
    </row>
    <row r="949" spans="1:4" ht="13" x14ac:dyDescent="0.15">
      <c r="A949" s="18"/>
      <c r="B949" s="18"/>
      <c r="C949" s="18"/>
      <c r="D949" s="18"/>
    </row>
    <row r="950" spans="1:4" ht="13" x14ac:dyDescent="0.15">
      <c r="A950" s="18"/>
      <c r="B950" s="18"/>
      <c r="C950" s="18"/>
      <c r="D950" s="18"/>
    </row>
    <row r="951" spans="1:4" ht="13" x14ac:dyDescent="0.15">
      <c r="A951" s="18"/>
      <c r="B951" s="18"/>
      <c r="C951" s="18"/>
      <c r="D951" s="18"/>
    </row>
    <row r="952" spans="1:4" ht="13" x14ac:dyDescent="0.15">
      <c r="A952" s="18"/>
      <c r="B952" s="18"/>
      <c r="C952" s="18"/>
      <c r="D952" s="18"/>
    </row>
    <row r="953" spans="1:4" ht="13" x14ac:dyDescent="0.15">
      <c r="A953" s="18"/>
      <c r="B953" s="18"/>
      <c r="C953" s="18"/>
      <c r="D953" s="18"/>
    </row>
    <row r="954" spans="1:4" ht="13" x14ac:dyDescent="0.15">
      <c r="A954" s="18"/>
      <c r="B954" s="18"/>
      <c r="C954" s="18"/>
      <c r="D954" s="18"/>
    </row>
    <row r="955" spans="1:4" ht="13" x14ac:dyDescent="0.15">
      <c r="A955" s="18"/>
      <c r="B955" s="18"/>
      <c r="C955" s="18"/>
      <c r="D955" s="18"/>
    </row>
    <row r="956" spans="1:4" ht="13" x14ac:dyDescent="0.15">
      <c r="A956" s="18"/>
      <c r="B956" s="18"/>
      <c r="C956" s="18"/>
      <c r="D956" s="18"/>
    </row>
    <row r="957" spans="1:4" ht="13" x14ac:dyDescent="0.15">
      <c r="A957" s="18"/>
      <c r="B957" s="18"/>
      <c r="C957" s="18"/>
      <c r="D957" s="18"/>
    </row>
    <row r="958" spans="1:4" ht="13" x14ac:dyDescent="0.15">
      <c r="A958" s="18"/>
      <c r="B958" s="18"/>
      <c r="C958" s="18"/>
      <c r="D958" s="18"/>
    </row>
    <row r="959" spans="1:4" ht="13" x14ac:dyDescent="0.15">
      <c r="A959" s="18"/>
      <c r="B959" s="18"/>
      <c r="C959" s="18"/>
      <c r="D959" s="18"/>
    </row>
    <row r="960" spans="1:4" ht="13" x14ac:dyDescent="0.15">
      <c r="A960" s="18"/>
      <c r="B960" s="18"/>
      <c r="C960" s="18"/>
      <c r="D960" s="18"/>
    </row>
    <row r="961" spans="1:4" ht="13" x14ac:dyDescent="0.15">
      <c r="A961" s="18"/>
      <c r="B961" s="18"/>
      <c r="C961" s="18"/>
      <c r="D961" s="18"/>
    </row>
    <row r="962" spans="1:4" ht="13" x14ac:dyDescent="0.15">
      <c r="A962" s="18"/>
      <c r="B962" s="18"/>
      <c r="C962" s="18"/>
      <c r="D962" s="18"/>
    </row>
    <row r="963" spans="1:4" ht="13" x14ac:dyDescent="0.15">
      <c r="A963" s="18"/>
      <c r="B963" s="18"/>
      <c r="C963" s="18"/>
      <c r="D963" s="18"/>
    </row>
    <row r="964" spans="1:4" ht="13" x14ac:dyDescent="0.15">
      <c r="A964" s="18"/>
      <c r="B964" s="18"/>
      <c r="C964" s="18"/>
      <c r="D964" s="18"/>
    </row>
    <row r="965" spans="1:4" ht="13" x14ac:dyDescent="0.15">
      <c r="A965" s="18"/>
      <c r="B965" s="18"/>
      <c r="C965" s="18"/>
      <c r="D965" s="18"/>
    </row>
    <row r="966" spans="1:4" ht="13" x14ac:dyDescent="0.15">
      <c r="A966" s="18"/>
      <c r="B966" s="18"/>
      <c r="C966" s="18"/>
      <c r="D966" s="18"/>
    </row>
    <row r="967" spans="1:4" ht="13" x14ac:dyDescent="0.15">
      <c r="A967" s="18"/>
      <c r="B967" s="18"/>
      <c r="C967" s="18"/>
      <c r="D967" s="18"/>
    </row>
    <row r="968" spans="1:4" ht="13" x14ac:dyDescent="0.15">
      <c r="A968" s="18"/>
      <c r="B968" s="18"/>
      <c r="C968" s="18"/>
      <c r="D968" s="18"/>
    </row>
    <row r="969" spans="1:4" ht="13" x14ac:dyDescent="0.15">
      <c r="A969" s="18"/>
      <c r="B969" s="18"/>
      <c r="C969" s="18"/>
      <c r="D969" s="18"/>
    </row>
    <row r="970" spans="1:4" ht="13" x14ac:dyDescent="0.15">
      <c r="A970" s="18"/>
      <c r="B970" s="18"/>
      <c r="C970" s="18"/>
      <c r="D970" s="18"/>
    </row>
    <row r="971" spans="1:4" ht="13" x14ac:dyDescent="0.15">
      <c r="A971" s="18"/>
      <c r="B971" s="18"/>
      <c r="C971" s="18"/>
      <c r="D971" s="18"/>
    </row>
    <row r="972" spans="1:4" ht="13" x14ac:dyDescent="0.15">
      <c r="A972" s="18"/>
      <c r="B972" s="18"/>
      <c r="C972" s="18"/>
      <c r="D972" s="18"/>
    </row>
    <row r="973" spans="1:4" ht="13" x14ac:dyDescent="0.15">
      <c r="A973" s="18"/>
      <c r="B973" s="18"/>
      <c r="C973" s="18"/>
      <c r="D973" s="18"/>
    </row>
    <row r="974" spans="1:4" ht="13" x14ac:dyDescent="0.15">
      <c r="A974" s="18"/>
      <c r="B974" s="18"/>
      <c r="C974" s="18"/>
      <c r="D974" s="18"/>
    </row>
  </sheetData>
  <autoFilter ref="A2:D2" xr:uid="{00000000-0009-0000-0000-000002000000}"/>
  <customSheetViews>
    <customSheetView guid="{EE108735-F011-40B2-BD14-38E8F8DDC1B4}" filter="1" showAutoFilter="1">
      <pageMargins left="0.7" right="0.7" top="0.75" bottom="0.75" header="0.3" footer="0.3"/>
      <autoFilter ref="A2:D17" xr:uid="{4906BEB6-A2B8-6946-A87B-F7AEAB256B78}">
        <sortState xmlns:xlrd2="http://schemas.microsoft.com/office/spreadsheetml/2017/richdata2" ref="A2:D17">
          <sortCondition ref="D2:D17"/>
        </sortState>
      </autoFilter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40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1" max="1" width="6.33203125" customWidth="1"/>
    <col min="2" max="2" width="24.83203125" customWidth="1"/>
    <col min="3" max="3" width="26.1640625" customWidth="1"/>
    <col min="4" max="4" width="9.1640625" customWidth="1"/>
    <col min="5" max="5" width="19.83203125" customWidth="1"/>
    <col min="6" max="6" width="10.83203125" customWidth="1"/>
    <col min="7" max="7" width="20.33203125" customWidth="1"/>
    <col min="8" max="8" width="5.1640625" customWidth="1"/>
    <col min="9" max="9" width="10.5" customWidth="1"/>
    <col min="10" max="10" width="53" customWidth="1"/>
    <col min="11" max="11" width="13.83203125" customWidth="1"/>
    <col min="12" max="12" width="20.33203125" customWidth="1"/>
    <col min="13" max="13" width="13.5" customWidth="1"/>
    <col min="14" max="14" width="9.5" customWidth="1"/>
    <col min="15" max="15" width="15.83203125" customWidth="1"/>
    <col min="16" max="16" width="22.1640625" customWidth="1"/>
    <col min="17" max="17" width="14" customWidth="1"/>
    <col min="18" max="18" width="23.5" customWidth="1"/>
    <col min="19" max="19" width="19.6640625" customWidth="1"/>
    <col min="20" max="20" width="8.33203125" customWidth="1"/>
    <col min="21" max="21" width="21.5" customWidth="1"/>
    <col min="22" max="22" width="9.83203125" customWidth="1"/>
    <col min="23" max="23" width="6.33203125" customWidth="1"/>
    <col min="24" max="24" width="11" customWidth="1"/>
    <col min="25" max="25" width="14.1640625" customWidth="1"/>
    <col min="26" max="26" width="38.5" customWidth="1"/>
    <col min="27" max="27" width="10.33203125" customWidth="1"/>
    <col min="28" max="28" width="11.1640625" customWidth="1"/>
    <col min="29" max="29" width="22.1640625" customWidth="1"/>
    <col min="30" max="30" width="14.6640625" customWidth="1"/>
    <col min="31" max="31" width="81.5" customWidth="1"/>
    <col min="32" max="32" width="11.1640625" customWidth="1"/>
    <col min="33" max="33" width="22" customWidth="1"/>
    <col min="34" max="34" width="14.6640625" customWidth="1"/>
    <col min="35" max="35" width="18" customWidth="1"/>
  </cols>
  <sheetData>
    <row r="1" spans="1:35" ht="15.75" customHeight="1" x14ac:dyDescent="0.15">
      <c r="A1" s="1"/>
      <c r="B1" s="2"/>
      <c r="C1" s="2"/>
      <c r="D1" s="2"/>
      <c r="E1" s="2"/>
      <c r="F1" s="38"/>
      <c r="G1" s="36"/>
      <c r="H1" s="36"/>
      <c r="I1" s="36"/>
      <c r="J1" s="35" t="s">
        <v>0</v>
      </c>
      <c r="K1" s="36"/>
      <c r="L1" s="36"/>
      <c r="M1" s="36"/>
      <c r="N1" s="37"/>
      <c r="O1" s="35" t="s">
        <v>1</v>
      </c>
      <c r="P1" s="36"/>
      <c r="Q1" s="36"/>
      <c r="R1" s="36"/>
      <c r="S1" s="36"/>
      <c r="T1" s="37"/>
      <c r="U1" s="3" t="s">
        <v>2</v>
      </c>
      <c r="V1" s="35" t="s">
        <v>3</v>
      </c>
      <c r="W1" s="36"/>
      <c r="X1" s="36"/>
      <c r="Y1" s="37"/>
      <c r="Z1" s="4"/>
      <c r="AA1" s="5"/>
      <c r="AB1" s="35" t="s">
        <v>4</v>
      </c>
      <c r="AC1" s="36"/>
      <c r="AD1" s="36"/>
      <c r="AE1" s="37"/>
      <c r="AF1" s="35" t="s">
        <v>5</v>
      </c>
      <c r="AG1" s="36"/>
      <c r="AH1" s="37"/>
      <c r="AI1" s="12"/>
    </row>
    <row r="2" spans="1:35" ht="15.75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0" t="s">
        <v>17</v>
      </c>
      <c r="M2" s="9" t="s">
        <v>18</v>
      </c>
      <c r="N2" s="9" t="s">
        <v>19</v>
      </c>
      <c r="O2" s="9" t="s">
        <v>20</v>
      </c>
      <c r="P2" s="10" t="s">
        <v>21</v>
      </c>
      <c r="Q2" s="10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1" t="s">
        <v>26</v>
      </c>
      <c r="X2" s="12" t="s">
        <v>28</v>
      </c>
      <c r="Y2" s="13" t="s">
        <v>29</v>
      </c>
      <c r="Z2" s="14" t="s">
        <v>30</v>
      </c>
      <c r="AA2" s="15" t="s">
        <v>31</v>
      </c>
      <c r="AB2" s="9" t="s">
        <v>32</v>
      </c>
      <c r="AC2" s="9" t="s">
        <v>33</v>
      </c>
      <c r="AD2" s="9" t="s">
        <v>34</v>
      </c>
      <c r="AE2" s="9" t="s">
        <v>35</v>
      </c>
      <c r="AF2" s="9" t="s">
        <v>32</v>
      </c>
      <c r="AG2" s="9" t="s">
        <v>33</v>
      </c>
      <c r="AH2" s="9" t="s">
        <v>34</v>
      </c>
      <c r="AI2" s="11" t="s">
        <v>29</v>
      </c>
    </row>
    <row r="3" spans="1:35" ht="15.75" customHeight="1" x14ac:dyDescent="0.15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6">
        <v>12</v>
      </c>
      <c r="M3" s="16">
        <v>13</v>
      </c>
      <c r="N3" s="16">
        <v>14</v>
      </c>
      <c r="O3" s="16">
        <v>15</v>
      </c>
      <c r="P3" s="16">
        <v>16</v>
      </c>
      <c r="Q3" s="16">
        <v>17</v>
      </c>
      <c r="R3" s="16">
        <v>18</v>
      </c>
      <c r="S3" s="16">
        <v>19</v>
      </c>
      <c r="T3" s="16">
        <v>20</v>
      </c>
      <c r="U3" s="16">
        <v>21</v>
      </c>
      <c r="V3" s="16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20">
        <v>35</v>
      </c>
    </row>
    <row r="4" spans="1:35" ht="15.75" customHeight="1" x14ac:dyDescent="0.15">
      <c r="A4">
        <f ca="1">IFERROR(__xludf.DUMMYFUNCTION("QUERY('Результат'!$A$4:$AI$2413, ""select * where E &lt;&gt; '60 ПОЛУВАГОНЫ' AND E &lt;&gt; '68 ГЛУХОДОННЫЕ'"", -1)"),1)</f>
        <v>1</v>
      </c>
      <c r="B4" t="str">
        <f ca="1">IFERROR(__xludf.DUMMYFUNCTION("""COMPUTED_VALUE"""),"Кнауф")</f>
        <v>Кнауф</v>
      </c>
      <c r="C4" t="str">
        <f ca="1">IFERROR(__xludf.DUMMYFUNCTION("""COMPUTED_VALUE"""),"ООО ""Укррос-Транс""")</f>
        <v>ООО "Укррос-Транс"</v>
      </c>
      <c r="D4">
        <f ca="1">IFERROR(__xludf.DUMMYFUNCTION("""COMPUTED_VALUE"""),52416906)</f>
        <v>52416906</v>
      </c>
      <c r="E4" t="str">
        <f ca="1">IFERROR(__xludf.DUMMYFUNCTION("""COMPUTED_VALUE"""),"20 КРЫТЫЕ")</f>
        <v>20 КРЫТЫЕ</v>
      </c>
      <c r="F4">
        <f ca="1">IFERROR(__xludf.DUMMYFUNCTION("""COMPUTED_VALUE"""),42103)</f>
        <v>42103</v>
      </c>
      <c r="G4" t="str">
        <f ca="1">IFERROR(__xludf.DUMMYFUNCTION("""COMPUTED_VALUE"""),"ВАГОНЫ ЖД СВ")</f>
        <v>ВАГОНЫ ЖД СВ</v>
      </c>
      <c r="H4">
        <f ca="1">IFERROR(__xludf.DUMMYFUNCTION("""COMPUTED_VALUE"""),0)</f>
        <v>0</v>
      </c>
      <c r="I4">
        <f ca="1">IFERROR(__xludf.DUMMYFUNCTION("""COMPUTED_VALUE"""),4149)</f>
        <v>4149</v>
      </c>
      <c r="J4" t="str">
        <f ca="1">IFERROR(__xludf.DUMMYFUNCTION("""COMPUTED_VALUE"""),"3632 (32040-006-32000) ГРУШКИ - ДАРНИЦА")</f>
        <v>3632 (32040-006-32000) ГРУШКИ - ДАРНИЦА</v>
      </c>
      <c r="K4">
        <f ca="1">IFERROR(__xludf.DUMMYFUNCTION("""COMPUTED_VALUE"""),32000)</f>
        <v>32000</v>
      </c>
      <c r="L4" t="str">
        <f ca="1">IFERROR(__xludf.DUMMYFUNCTION("""COMPUTED_VALUE"""),"ДАРНИЦА")</f>
        <v>ДАРНИЦА</v>
      </c>
      <c r="M4" t="str">
        <f ca="1">IFERROR(__xludf.DUMMYFUNCTION("""COMPUTED_VALUE"""),"12.08.21 01-01")</f>
        <v>12.08.21 01-01</v>
      </c>
      <c r="N4" t="str">
        <f ca="1">IFERROR(__xludf.DUMMYFUNCTION("""COMPUTED_VALUE"""),"04 РАСФ")</f>
        <v>04 РАСФ</v>
      </c>
      <c r="O4">
        <f ca="1">IFERROR(__xludf.DUMMYFUNCTION("""COMPUTED_VALUE"""),49620)</f>
        <v>49620</v>
      </c>
      <c r="P4" t="str">
        <f ca="1">IFERROR(__xludf.DUMMYFUNCTION("""COMPUTED_VALUE"""),"ДЕКОНСКАЯ")</f>
        <v>ДЕКОНСКАЯ</v>
      </c>
      <c r="Q4">
        <f ca="1">IFERROR(__xludf.DUMMYFUNCTION("""COMPUTED_VALUE"""),32040)</f>
        <v>32040</v>
      </c>
      <c r="R4" t="str">
        <f ca="1">IFERROR(__xludf.DUMMYFUNCTION("""COMPUTED_VALUE"""),"ГРУШКИ")</f>
        <v>ГРУШКИ</v>
      </c>
      <c r="S4" t="str">
        <f ca="1">IFERROR(__xludf.DUMMYFUNCTION("""COMPUTED_VALUE"""),"08.08.21 08-00")</f>
        <v>08.08.21 08-00</v>
      </c>
      <c r="T4">
        <f ca="1">IFERROR(__xludf.DUMMYFUNCTION("""COMPUTED_VALUE"""),3314)</f>
        <v>3314</v>
      </c>
      <c r="U4" t="str">
        <f ca="1">IFERROR(__xludf.DUMMYFUNCTION("""COMPUTED_VALUE"""),"04.07.2024 ДР")</f>
        <v>04.07.2024 ДР</v>
      </c>
      <c r="Z4" t="str">
        <f ca="1">IFERROR(__xludf.DUMMYFUNCTION("""COMPUTED_VALUE"""),"ООО ""Укррос-Транс""")</f>
        <v>ООО "Укррос-Транс"</v>
      </c>
      <c r="AA4" t="str">
        <f ca="1">IFERROR(__xludf.DUMMYFUNCTION("""COMPUTED_VALUE"""),"11-217")</f>
        <v>11-217</v>
      </c>
      <c r="AB4" t="str">
        <f ca="1">IFERROR(__xludf.DUMMYFUNCTION("""COMPUTED_VALUE"""),"32 Ю-ЗАП")</f>
        <v>32 Ю-ЗАП</v>
      </c>
      <c r="AC4" t="str">
        <f ca="1">IFERROR(__xludf.DUMMYFUNCTION("""COMPUTED_VALUE"""),"33000 ЖМЕРИНКА")</f>
        <v>33000 ЖМЕРИНКА</v>
      </c>
      <c r="AD4" t="str">
        <f ca="1">IFERROR(__xludf.DUMMYFUNCTION("""COMPUTED_VALUE"""),"04.07.21 14-56")</f>
        <v>04.07.21 14-56</v>
      </c>
      <c r="AE4" t="str">
        <f ca="1">IFERROR(__xludf.DUMMYFUNCTION("""COMPUTED_VALUE"""),"571 ИCТEК КAЛЕНДАРНЫЙ CPOК КAПИТAЛЬНОГО PEМOНТA")</f>
        <v>571 ИCТEК КAЛЕНДАРНЫЙ CPOК КAПИТAЛЬНОГО PEМOНТA</v>
      </c>
      <c r="AF4" t="str">
        <f ca="1">IFERROR(__xludf.DUMMYFUNCTION("""COMPUTED_VALUE"""),"32 Ю-ЗАП")</f>
        <v>32 Ю-ЗАП</v>
      </c>
      <c r="AG4" t="str">
        <f ca="1">IFERROR(__xludf.DUMMYFUNCTION("""COMPUTED_VALUE"""),"33000 ЖМЕРИНКА")</f>
        <v>33000 ЖМЕРИНКА</v>
      </c>
      <c r="AH4" t="str">
        <f ca="1">IFERROR(__xludf.DUMMYFUNCTION("""COMPUTED_VALUE"""),"04.07.21 15-01")</f>
        <v>04.07.21 15-01</v>
      </c>
      <c r="AI4" s="21">
        <f ca="1">IFERROR(__xludf.DUMMYFUNCTION("""COMPUTED_VALUE"""),44420.3576504629)</f>
        <v>44420.357650462902</v>
      </c>
    </row>
    <row r="5" spans="1:35" ht="15.75" customHeight="1" x14ac:dyDescent="0.15">
      <c r="A5">
        <f ca="1">IFERROR(__xludf.DUMMYFUNCTION("""COMPUTED_VALUE"""),2)</f>
        <v>2</v>
      </c>
      <c r="B5" t="str">
        <f ca="1">IFERROR(__xludf.DUMMYFUNCTION("""COMPUTED_VALUE"""),"Кнауф")</f>
        <v>Кнауф</v>
      </c>
      <c r="C5" t="str">
        <f ca="1">IFERROR(__xludf.DUMMYFUNCTION("""COMPUTED_VALUE"""),"ООО ""Укррос-Транс""")</f>
        <v>ООО "Укррос-Транс"</v>
      </c>
      <c r="D5">
        <f ca="1">IFERROR(__xludf.DUMMYFUNCTION("""COMPUTED_VALUE"""),52551306)</f>
        <v>52551306</v>
      </c>
      <c r="E5" t="str">
        <f ca="1">IFERROR(__xludf.DUMMYFUNCTION("""COMPUTED_VALUE"""),"20 КРЫТЫЕ")</f>
        <v>20 КРЫТЫЕ</v>
      </c>
      <c r="F5">
        <f ca="1">IFERROR(__xludf.DUMMYFUNCTION("""COMPUTED_VALUE"""),42103)</f>
        <v>42103</v>
      </c>
      <c r="G5" t="str">
        <f ca="1">IFERROR(__xludf.DUMMYFUNCTION("""COMPUTED_VALUE"""),"ВАГОНЫ ЖД СВ")</f>
        <v>ВАГОНЫ ЖД СВ</v>
      </c>
      <c r="H5">
        <f ca="1">IFERROR(__xludf.DUMMYFUNCTION("""COMPUTED_VALUE"""),0)</f>
        <v>0</v>
      </c>
      <c r="I5">
        <f ca="1">IFERROR(__xludf.DUMMYFUNCTION("""COMPUTED_VALUE"""),8199)</f>
        <v>8199</v>
      </c>
      <c r="J5" t="str">
        <f ca="1">IFERROR(__xludf.DUMMYFUNCTION("""COMPUTED_VALUE"""),"2001 (37040-259-38830) КЛЕПАРОВ - ЯМНИЦА")</f>
        <v>2001 (37040-259-38830) КЛЕПАРОВ - ЯМНИЦА</v>
      </c>
      <c r="K5">
        <f ca="1">IFERROR(__xludf.DUMMYFUNCTION("""COMPUTED_VALUE"""),38830)</f>
        <v>38830</v>
      </c>
      <c r="L5" t="str">
        <f ca="1">IFERROR(__xludf.DUMMYFUNCTION("""COMPUTED_VALUE"""),"ЯМНИЦА")</f>
        <v>ЯМНИЦА</v>
      </c>
      <c r="M5" t="str">
        <f ca="1">IFERROR(__xludf.DUMMYFUNCTION("""COMPUTED_VALUE"""),"11.08.21 06-00")</f>
        <v>11.08.21 06-00</v>
      </c>
      <c r="N5" t="str">
        <f ca="1">IFERROR(__xludf.DUMMYFUNCTION("""COMPUTED_VALUE"""),"98 ОТОТ")</f>
        <v>98 ОТОТ</v>
      </c>
      <c r="O5">
        <f ca="1">IFERROR(__xludf.DUMMYFUNCTION("""COMPUTED_VALUE"""),38830)</f>
        <v>38830</v>
      </c>
      <c r="P5" t="str">
        <f ca="1">IFERROR(__xludf.DUMMYFUNCTION("""COMPUTED_VALUE"""),"ЯМНИЦА")</f>
        <v>ЯМНИЦА</v>
      </c>
      <c r="Q5">
        <f ca="1">IFERROR(__xludf.DUMMYFUNCTION("""COMPUTED_VALUE"""),35660)</f>
        <v>35660</v>
      </c>
      <c r="R5" t="str">
        <f ca="1">IFERROR(__xludf.DUMMYFUNCTION("""COMPUTED_VALUE"""),"РОВНО")</f>
        <v>РОВНО</v>
      </c>
      <c r="S5" t="str">
        <f ca="1">IFERROR(__xludf.DUMMYFUNCTION("""COMPUTED_VALUE"""),"31.07.21 17-20")</f>
        <v>31.07.21 17-20</v>
      </c>
      <c r="T5">
        <f ca="1">IFERROR(__xludf.DUMMYFUNCTION("""COMPUTED_VALUE"""),8200)</f>
        <v>8200</v>
      </c>
      <c r="U5" t="str">
        <f ca="1">IFERROR(__xludf.DUMMYFUNCTION("""COMPUTED_VALUE"""),"01.03.2023 ТР-1")</f>
        <v>01.03.2023 ТР-1</v>
      </c>
      <c r="Z5" t="str">
        <f ca="1">IFERROR(__xludf.DUMMYFUNCTION("""COMPUTED_VALUE"""),"ООО ""Укррос-Транс""")</f>
        <v>ООО "Укррос-Транс"</v>
      </c>
      <c r="AA5" t="str">
        <f ca="1">IFERROR(__xludf.DUMMYFUNCTION("""COMPUTED_VALUE"""),"11-270")</f>
        <v>11-270</v>
      </c>
      <c r="AB5" t="str">
        <f ca="1">IFERROR(__xludf.DUMMYFUNCTION("""COMPUTED_VALUE"""),"43 ЮЖН")</f>
        <v>43 ЮЖН</v>
      </c>
      <c r="AC5" t="str">
        <f ca="1">IFERROR(__xludf.DUMMYFUNCTION("""COMPUTED_VALUE"""),"44020 ОСНОВА")</f>
        <v>44020 ОСНОВА</v>
      </c>
      <c r="AD5" t="str">
        <f ca="1">IFERROR(__xludf.DUMMYFUNCTION("""COMPUTED_VALUE"""),"28.03.21 11-45")</f>
        <v>28.03.21 11-45</v>
      </c>
      <c r="AE5" t="str">
        <f ca="1">IFERROR(__xludf.DUMMYFUNCTION("""COMPUTED_VALUE"""),"537 НEИCПPAВНOCТЬ ЗAПOPA ДВEPИ")</f>
        <v>537 НEИCПPAВНOCТЬ ЗAПOPA ДВEPИ</v>
      </c>
      <c r="AF5" t="str">
        <f ca="1">IFERROR(__xludf.DUMMYFUNCTION("""COMPUTED_VALUE"""),"43 ЮЖН")</f>
        <v>43 ЮЖН</v>
      </c>
      <c r="AG5" t="str">
        <f ca="1">IFERROR(__xludf.DUMMYFUNCTION("""COMPUTED_VALUE"""),"44020 ОСНОВА")</f>
        <v>44020 ОСНОВА</v>
      </c>
      <c r="AH5" t="str">
        <f ca="1">IFERROR(__xludf.DUMMYFUNCTION("""COMPUTED_VALUE"""),"30.03.21 17-10")</f>
        <v>30.03.21 17-10</v>
      </c>
      <c r="AI5" s="21">
        <f ca="1">IFERROR(__xludf.DUMMYFUNCTION("""COMPUTED_VALUE"""),44420.3576504629)</f>
        <v>44420.357650462902</v>
      </c>
    </row>
    <row r="6" spans="1:35" ht="15.75" customHeight="1" x14ac:dyDescent="0.15">
      <c r="A6">
        <f ca="1">IFERROR(__xludf.DUMMYFUNCTION("""COMPUTED_VALUE"""),3)</f>
        <v>3</v>
      </c>
      <c r="B6" t="str">
        <f ca="1">IFERROR(__xludf.DUMMYFUNCTION("""COMPUTED_VALUE"""),"Кнауф")</f>
        <v>Кнауф</v>
      </c>
      <c r="C6" t="str">
        <f ca="1">IFERROR(__xludf.DUMMYFUNCTION("""COMPUTED_VALUE"""),"ООО ""Укррос-Транс""")</f>
        <v>ООО "Укррос-Транс"</v>
      </c>
      <c r="D6">
        <f ca="1">IFERROR(__xludf.DUMMYFUNCTION("""COMPUTED_VALUE"""),52538717)</f>
        <v>52538717</v>
      </c>
      <c r="E6" t="str">
        <f ca="1">IFERROR(__xludf.DUMMYFUNCTION("""COMPUTED_VALUE"""),"20 КРЫТЫЕ")</f>
        <v>20 КРЫТЫЕ</v>
      </c>
      <c r="F6">
        <f ca="1">IFERROR(__xludf.DUMMYFUNCTION("""COMPUTED_VALUE"""),42103)</f>
        <v>42103</v>
      </c>
      <c r="G6" t="str">
        <f ca="1">IFERROR(__xludf.DUMMYFUNCTION("""COMPUTED_VALUE"""),"ВАГОНЫ ЖД СВ")</f>
        <v>ВАГОНЫ ЖД СВ</v>
      </c>
      <c r="H6">
        <f ca="1">IFERROR(__xludf.DUMMYFUNCTION("""COMPUTED_VALUE"""),0)</f>
        <v>0</v>
      </c>
      <c r="I6">
        <f ca="1">IFERROR(__xludf.DUMMYFUNCTION("""COMPUTED_VALUE"""),8199)</f>
        <v>8199</v>
      </c>
      <c r="J6" t="str">
        <f ca="1">IFERROR(__xludf.DUMMYFUNCTION("""COMPUTED_VALUE"""),"2001 (37040-122-38830) КЛЕПАРОВ - ЯМНИЦА")</f>
        <v>2001 (37040-122-38830) КЛЕПАРОВ - ЯМНИЦА</v>
      </c>
      <c r="K6">
        <f ca="1">IFERROR(__xludf.DUMMYFUNCTION("""COMPUTED_VALUE"""),37040)</f>
        <v>37040</v>
      </c>
      <c r="L6" t="str">
        <f ca="1">IFERROR(__xludf.DUMMYFUNCTION("""COMPUTED_VALUE"""),"КЛЕПАРОВ")</f>
        <v>КЛЕПАРОВ</v>
      </c>
      <c r="M6" t="str">
        <f ca="1">IFERROR(__xludf.DUMMYFUNCTION("""COMPUTED_VALUE"""),"06.08.21 15-28")</f>
        <v>06.08.21 15-28</v>
      </c>
      <c r="N6" t="str">
        <f ca="1">IFERROR(__xludf.DUMMYFUNCTION("""COMPUTED_VALUE"""),"85 ПРСТ")</f>
        <v>85 ПРСТ</v>
      </c>
      <c r="O6">
        <f ca="1">IFERROR(__xludf.DUMMYFUNCTION("""COMPUTED_VALUE"""),38830)</f>
        <v>38830</v>
      </c>
      <c r="P6" t="str">
        <f ca="1">IFERROR(__xludf.DUMMYFUNCTION("""COMPUTED_VALUE"""),"ЯМНИЦА")</f>
        <v>ЯМНИЦА</v>
      </c>
      <c r="Q6">
        <f ca="1">IFERROR(__xludf.DUMMYFUNCTION("""COMPUTED_VALUE"""),32040)</f>
        <v>32040</v>
      </c>
      <c r="R6" t="str">
        <f ca="1">IFERROR(__xludf.DUMMYFUNCTION("""COMPUTED_VALUE"""),"ГРУШКИ")</f>
        <v>ГРУШКИ</v>
      </c>
      <c r="S6" t="str">
        <f ca="1">IFERROR(__xludf.DUMMYFUNCTION("""COMPUTED_VALUE"""),"25.07.21 09-30")</f>
        <v>25.07.21 09-30</v>
      </c>
      <c r="T6">
        <f ca="1">IFERROR(__xludf.DUMMYFUNCTION("""COMPUTED_VALUE"""),8200)</f>
        <v>8200</v>
      </c>
      <c r="U6" t="str">
        <f ca="1">IFERROR(__xludf.DUMMYFUNCTION("""COMPUTED_VALUE"""),"01.03.2023 ТР-1")</f>
        <v>01.03.2023 ТР-1</v>
      </c>
      <c r="Z6" t="str">
        <f ca="1">IFERROR(__xludf.DUMMYFUNCTION("""COMPUTED_VALUE"""),"ООО ""Укррос-Транс""")</f>
        <v>ООО "Укррос-Транс"</v>
      </c>
      <c r="AA6" t="str">
        <f ca="1">IFERROR(__xludf.DUMMYFUNCTION("""COMPUTED_VALUE"""),"11-270")</f>
        <v>11-270</v>
      </c>
      <c r="AB6" t="str">
        <f ca="1">IFERROR(__xludf.DUMMYFUNCTION("""COMPUTED_VALUE"""),"32 Ю-ЗАП")</f>
        <v>32 Ю-ЗАП</v>
      </c>
      <c r="AC6" t="str">
        <f ca="1">IFERROR(__xludf.DUMMYFUNCTION("""COMPUTED_VALUE"""),"32000 ДАРНИЦА")</f>
        <v>32000 ДАРНИЦА</v>
      </c>
      <c r="AD6" t="str">
        <f ca="1">IFERROR(__xludf.DUMMYFUNCTION("""COMPUTED_VALUE"""),"26.07.21 03-47")</f>
        <v>26.07.21 03-47</v>
      </c>
      <c r="AE6" t="str">
        <f ca="1">IFERROR(__xludf.DUMMYFUNCTION("""COMPUTED_VALUE"""),"537 НEИCПPAВНOCТЬ ЗAПOPA ДВEPИ")</f>
        <v>537 НEИCПPAВНOCТЬ ЗAПOPA ДВEPИ</v>
      </c>
      <c r="AF6" t="str">
        <f ca="1">IFERROR(__xludf.DUMMYFUNCTION("""COMPUTED_VALUE"""),"32 Ю-ЗАП")</f>
        <v>32 Ю-ЗАП</v>
      </c>
      <c r="AG6" t="str">
        <f ca="1">IFERROR(__xludf.DUMMYFUNCTION("""COMPUTED_VALUE"""),"32000 ДАРНИЦА")</f>
        <v>32000 ДАРНИЦА</v>
      </c>
      <c r="AH6" t="str">
        <f ca="1">IFERROR(__xludf.DUMMYFUNCTION("""COMPUTED_VALUE"""),"02.08.21 15-39")</f>
        <v>02.08.21 15-39</v>
      </c>
      <c r="AI6" s="21">
        <f ca="1">IFERROR(__xludf.DUMMYFUNCTION("""COMPUTED_VALUE"""),44420.3576504629)</f>
        <v>44420.357650462902</v>
      </c>
    </row>
    <row r="7" spans="1:35" ht="15.75" customHeight="1" x14ac:dyDescent="0.15">
      <c r="A7">
        <f ca="1">IFERROR(__xludf.DUMMYFUNCTION("""COMPUTED_VALUE"""),4)</f>
        <v>4</v>
      </c>
      <c r="B7" t="str">
        <f ca="1">IFERROR(__xludf.DUMMYFUNCTION("""COMPUTED_VALUE"""),"Кнауф")</f>
        <v>Кнауф</v>
      </c>
      <c r="C7" t="str">
        <f ca="1">IFERROR(__xludf.DUMMYFUNCTION("""COMPUTED_VALUE"""),"ООО ""Укррос-Транс""")</f>
        <v>ООО "Укррос-Транс"</v>
      </c>
      <c r="D7">
        <f ca="1">IFERROR(__xludf.DUMMYFUNCTION("""COMPUTED_VALUE"""),52416914)</f>
        <v>52416914</v>
      </c>
      <c r="E7" t="str">
        <f ca="1">IFERROR(__xludf.DUMMYFUNCTION("""COMPUTED_VALUE"""),"20 КРЫТЫЕ")</f>
        <v>20 КРЫТЫЕ</v>
      </c>
      <c r="F7">
        <f ca="1">IFERROR(__xludf.DUMMYFUNCTION("""COMPUTED_VALUE"""),42103)</f>
        <v>42103</v>
      </c>
      <c r="G7" t="str">
        <f ca="1">IFERROR(__xludf.DUMMYFUNCTION("""COMPUTED_VALUE"""),"ВАГОНЫ ЖД СВ")</f>
        <v>ВАГОНЫ ЖД СВ</v>
      </c>
      <c r="H7">
        <f ca="1">IFERROR(__xludf.DUMMYFUNCTION("""COMPUTED_VALUE"""),0)</f>
        <v>0</v>
      </c>
      <c r="I7">
        <f ca="1">IFERROR(__xludf.DUMMYFUNCTION("""COMPUTED_VALUE"""),4149)</f>
        <v>4149</v>
      </c>
      <c r="J7" t="str">
        <f ca="1">IFERROR(__xludf.DUMMYFUNCTION("""COMPUTED_VALUE"""),"2831 (44020-300-49000) ОСНОВА - ЛИМАН")</f>
        <v>2831 (44020-300-49000) ОСНОВА - ЛИМАН</v>
      </c>
      <c r="K7">
        <f ca="1">IFERROR(__xludf.DUMMYFUNCTION("""COMPUTED_VALUE"""),49005)</f>
        <v>49005</v>
      </c>
      <c r="L7" t="str">
        <f ca="1">IFERROR(__xludf.DUMMYFUNCTION("""COMPUTED_VALUE"""),"ФОРПОСТНАЯ")</f>
        <v>ФОРПОСТНАЯ</v>
      </c>
      <c r="M7" t="str">
        <f ca="1">IFERROR(__xludf.DUMMYFUNCTION("""COMPUTED_VALUE"""),"12.08.21 08-19")</f>
        <v>12.08.21 08-19</v>
      </c>
      <c r="N7" t="str">
        <f ca="1">IFERROR(__xludf.DUMMYFUNCTION("""COMPUTED_VALUE"""),"03 ПРОС")</f>
        <v>03 ПРОС</v>
      </c>
      <c r="O7">
        <f ca="1">IFERROR(__xludf.DUMMYFUNCTION("""COMPUTED_VALUE"""),49620)</f>
        <v>49620</v>
      </c>
      <c r="P7" t="str">
        <f ca="1">IFERROR(__xludf.DUMMYFUNCTION("""COMPUTED_VALUE"""),"ДЕКОНСКАЯ")</f>
        <v>ДЕКОНСКАЯ</v>
      </c>
      <c r="Q7">
        <f ca="1">IFERROR(__xludf.DUMMYFUNCTION("""COMPUTED_VALUE"""),44050)</f>
        <v>44050</v>
      </c>
      <c r="R7" t="str">
        <f ca="1">IFERROR(__xludf.DUMMYFUNCTION("""COMPUTED_VALUE"""),"ХАРЬКОВ-БАЛ")</f>
        <v>ХАРЬКОВ-БАЛ</v>
      </c>
      <c r="S7" t="str">
        <f ca="1">IFERROR(__xludf.DUMMYFUNCTION("""COMPUTED_VALUE"""),"09.08.21 15-10")</f>
        <v>09.08.21 15-10</v>
      </c>
      <c r="T7">
        <f ca="1">IFERROR(__xludf.DUMMYFUNCTION("""COMPUTED_VALUE"""),1494)</f>
        <v>1494</v>
      </c>
      <c r="U7" t="str">
        <f ca="1">IFERROR(__xludf.DUMMYFUNCTION("""COMPUTED_VALUE"""),"04.12.2021 ТР-1")</f>
        <v>04.12.2021 ТР-1</v>
      </c>
      <c r="Z7" t="str">
        <f ca="1">IFERROR(__xludf.DUMMYFUNCTION("""COMPUTED_VALUE"""),"ООО ""Укррос-Транс""")</f>
        <v>ООО "Укррос-Транс"</v>
      </c>
      <c r="AA7" t="str">
        <f ca="1">IFERROR(__xludf.DUMMYFUNCTION("""COMPUTED_VALUE"""),"11-217")</f>
        <v>11-217</v>
      </c>
      <c r="AB7" t="str">
        <f ca="1">IFERROR(__xludf.DUMMYFUNCTION("""COMPUTED_VALUE"""),"48 ДОН")</f>
        <v>48 ДОН</v>
      </c>
      <c r="AC7" t="str">
        <f ca="1">IFERROR(__xludf.DUMMYFUNCTION("""COMPUTED_VALUE"""),"49000 ЛИМАН")</f>
        <v>49000 ЛИМАН</v>
      </c>
      <c r="AD7" t="str">
        <f ca="1">IFERROR(__xludf.DUMMYFUNCTION("""COMPUTED_VALUE"""),"18.07.21 08-40")</f>
        <v>18.07.21 08-40</v>
      </c>
      <c r="AE7" t="str">
        <f ca="1">IFERROR(__xludf.DUMMYFUNCTION("""COMPUTED_VALUE"""),"621 ТPEЩИНА КOНЦEВЫX БAЛOК")</f>
        <v>621 ТPEЩИНА КOНЦEВЫX БAЛOК</v>
      </c>
      <c r="AF7" t="str">
        <f ca="1">IFERROR(__xludf.DUMMYFUNCTION("""COMPUTED_VALUE"""),"48 ДОН")</f>
        <v>48 ДОН</v>
      </c>
      <c r="AG7" t="str">
        <f ca="1">IFERROR(__xludf.DUMMYFUNCTION("""COMPUTED_VALUE"""),"49000 ЛИМАН")</f>
        <v>49000 ЛИМАН</v>
      </c>
      <c r="AH7" t="str">
        <f ca="1">IFERROR(__xludf.DUMMYFUNCTION("""COMPUTED_VALUE"""),"19.07.21 17-00")</f>
        <v>19.07.21 17-00</v>
      </c>
      <c r="AI7" s="21">
        <f ca="1">IFERROR(__xludf.DUMMYFUNCTION("""COMPUTED_VALUE"""),44420.3576504629)</f>
        <v>44420.357650462902</v>
      </c>
    </row>
    <row r="8" spans="1:35" ht="15.75" customHeight="1" x14ac:dyDescent="0.15">
      <c r="A8">
        <f ca="1">IFERROR(__xludf.DUMMYFUNCTION("""COMPUTED_VALUE"""),5)</f>
        <v>5</v>
      </c>
      <c r="B8" t="str">
        <f ca="1">IFERROR(__xludf.DUMMYFUNCTION("""COMPUTED_VALUE"""),"Кнауф")</f>
        <v>Кнауф</v>
      </c>
      <c r="C8" t="str">
        <f ca="1">IFERROR(__xludf.DUMMYFUNCTION("""COMPUTED_VALUE"""),"ООО ""Укррос-Транс""")</f>
        <v>ООО "Укррос-Транс"</v>
      </c>
      <c r="D8">
        <f ca="1">IFERROR(__xludf.DUMMYFUNCTION("""COMPUTED_VALUE"""),52416872)</f>
        <v>52416872</v>
      </c>
      <c r="E8" t="str">
        <f ca="1">IFERROR(__xludf.DUMMYFUNCTION("""COMPUTED_VALUE"""),"20 КРЫТЫЕ")</f>
        <v>20 КРЫТЫЕ</v>
      </c>
      <c r="F8">
        <f ca="1">IFERROR(__xludf.DUMMYFUNCTION("""COMPUTED_VALUE"""),53103)</f>
        <v>53103</v>
      </c>
      <c r="G8" t="str">
        <f ca="1">IFERROR(__xludf.DUMMYFUNCTION("""COMPUTED_VALUE"""),"СОЛЬ ПИЩ МОЛОТ")</f>
        <v>СОЛЬ ПИЩ МОЛОТ</v>
      </c>
      <c r="H8">
        <f ca="1">IFERROR(__xludf.DUMMYFUNCTION("""COMPUTED_VALUE"""),68)</f>
        <v>68</v>
      </c>
      <c r="I8">
        <f ca="1">IFERROR(__xludf.DUMMYFUNCTION("""COMPUTED_VALUE"""),3560)</f>
        <v>3560</v>
      </c>
      <c r="J8" t="str">
        <f ca="1">IFERROR(__xludf.DUMMYFUNCTION("""COMPUTED_VALUE"""),"3228 (37040-269-38850) КЛЕПАРОВ - ХРЫПЛИН")</f>
        <v>3228 (37040-269-38850) КЛЕПАРОВ - ХРЫПЛИН</v>
      </c>
      <c r="K8">
        <f ca="1">IFERROR(__xludf.DUMMYFUNCTION("""COMPUTED_VALUE"""),38840)</f>
        <v>38840</v>
      </c>
      <c r="L8" t="str">
        <f ca="1">IFERROR(__xludf.DUMMYFUNCTION("""COMPUTED_VALUE"""),"ИВАНО-ФРАНК")</f>
        <v>ИВАНО-ФРАНК</v>
      </c>
      <c r="M8" t="str">
        <f ca="1">IFERROR(__xludf.DUMMYFUNCTION("""COMPUTED_VALUE"""),"11.08.21 14-00")</f>
        <v>11.08.21 14-00</v>
      </c>
      <c r="N8" t="str">
        <f ca="1">IFERROR(__xludf.DUMMYFUNCTION("""COMPUTED_VALUE"""),"21 ВЫГ2")</f>
        <v>21 ВЫГ2</v>
      </c>
      <c r="O8">
        <f ca="1">IFERROR(__xludf.DUMMYFUNCTION("""COMPUTED_VALUE"""),38840)</f>
        <v>38840</v>
      </c>
      <c r="P8" t="str">
        <f ca="1">IFERROR(__xludf.DUMMYFUNCTION("""COMPUTED_VALUE"""),"ИВАНО-ФРАНК")</f>
        <v>ИВАНО-ФРАНК</v>
      </c>
      <c r="Q8">
        <f ca="1">IFERROR(__xludf.DUMMYFUNCTION("""COMPUTED_VALUE"""),49480)</f>
        <v>49480</v>
      </c>
      <c r="R8" t="str">
        <f ca="1">IFERROR(__xludf.DUMMYFUNCTION("""COMPUTED_VALUE"""),"СОЛЬ")</f>
        <v>СОЛЬ</v>
      </c>
      <c r="S8" t="str">
        <f ca="1">IFERROR(__xludf.DUMMYFUNCTION("""COMPUTED_VALUE"""),"04.08.21 15-25")</f>
        <v>04.08.21 15-25</v>
      </c>
      <c r="U8" t="str">
        <f ca="1">IFERROR(__xludf.DUMMYFUNCTION("""COMPUTED_VALUE"""),"03.12.2023 ДР")</f>
        <v>03.12.2023 ДР</v>
      </c>
      <c r="Z8" t="str">
        <f ca="1">IFERROR(__xludf.DUMMYFUNCTION("""COMPUTED_VALUE"""),"ООО ""Укррос-Транс""")</f>
        <v>ООО "Укррос-Транс"</v>
      </c>
      <c r="AA8" t="str">
        <f ca="1">IFERROR(__xludf.DUMMYFUNCTION("""COMPUTED_VALUE"""),"11-217")</f>
        <v>11-217</v>
      </c>
      <c r="AB8" t="str">
        <f ca="1">IFERROR(__xludf.DUMMYFUNCTION("""COMPUTED_VALUE"""),"48 ДОН")</f>
        <v>48 ДОН</v>
      </c>
      <c r="AC8" t="str">
        <f ca="1">IFERROR(__xludf.DUMMYFUNCTION("""COMPUTED_VALUE"""),"49480 СОЛЬ")</f>
        <v>49480 СОЛЬ</v>
      </c>
      <c r="AD8" t="str">
        <f ca="1">IFERROR(__xludf.DUMMYFUNCTION("""COMPUTED_VALUE"""),"09.06.21 05-00")</f>
        <v>09.06.21 05-00</v>
      </c>
      <c r="AE8" t="str">
        <f ca="1">IFERROR(__xludf.DUMMYFUNCTION("""COMPUTED_VALUE"""),"563")</f>
        <v>563</v>
      </c>
      <c r="AF8" t="str">
        <f ca="1">IFERROR(__xludf.DUMMYFUNCTION("""COMPUTED_VALUE"""),"48 ДОН")</f>
        <v>48 ДОН</v>
      </c>
      <c r="AG8" t="str">
        <f ca="1">IFERROR(__xludf.DUMMYFUNCTION("""COMPUTED_VALUE"""),"49480 СОЛЬ")</f>
        <v>49480 СОЛЬ</v>
      </c>
      <c r="AH8" t="str">
        <f ca="1">IFERROR(__xludf.DUMMYFUNCTION("""COMPUTED_VALUE"""),"27.06.21 16-00")</f>
        <v>27.06.21 16-00</v>
      </c>
      <c r="AI8" s="21">
        <f ca="1">IFERROR(__xludf.DUMMYFUNCTION("""COMPUTED_VALUE"""),44420.3576504629)</f>
        <v>44420.357650462902</v>
      </c>
    </row>
    <row r="9" spans="1:35" ht="15.75" customHeight="1" x14ac:dyDescent="0.15">
      <c r="A9">
        <f ca="1">IFERROR(__xludf.DUMMYFUNCTION("""COMPUTED_VALUE"""),6)</f>
        <v>6</v>
      </c>
      <c r="B9" t="str">
        <f ca="1">IFERROR(__xludf.DUMMYFUNCTION("""COMPUTED_VALUE"""),"Николаевцемент")</f>
        <v>Николаевцемент</v>
      </c>
      <c r="C9" t="str">
        <f ca="1">IFERROR(__xludf.DUMMYFUNCTION("""COMPUTED_VALUE"""),"ООО ""Укррос-Транс""")</f>
        <v>ООО "Укррос-Транс"</v>
      </c>
      <c r="D9">
        <f ca="1">IFERROR(__xludf.DUMMYFUNCTION("""COMPUTED_VALUE"""),52551348)</f>
        <v>52551348</v>
      </c>
      <c r="E9" t="str">
        <f ca="1">IFERROR(__xludf.DUMMYFUNCTION("""COMPUTED_VALUE"""),"20 КРЫТЫЕ")</f>
        <v>20 КРЫТЫЕ</v>
      </c>
      <c r="F9">
        <f ca="1">IFERROR(__xludf.DUMMYFUNCTION("""COMPUTED_VALUE"""),42119)</f>
        <v>42119</v>
      </c>
      <c r="G9" t="str">
        <f ca="1">IFERROR(__xludf.DUMMYFUNCTION("""COMPUTED_VALUE"""),"ВАГОНЫ ЖД РЕМОН")</f>
        <v>ВАГОНЫ ЖД РЕМОН</v>
      </c>
      <c r="H9">
        <f ca="1">IFERROR(__xludf.DUMMYFUNCTION("""COMPUTED_VALUE"""),0)</f>
        <v>0</v>
      </c>
      <c r="I9">
        <f ca="1">IFERROR(__xludf.DUMMYFUNCTION("""COMPUTED_VALUE"""),1426)</f>
        <v>1426</v>
      </c>
      <c r="J9" t="str">
        <f ca="1">IFERROR(__xludf.DUMMYFUNCTION("""COMPUTED_VALUE"""),"5555 (33000-144-00080) ЖМЕРИНКА -")</f>
        <v>5555 (33000-144-00080) ЖМЕРИНКА -</v>
      </c>
      <c r="K9">
        <f ca="1">IFERROR(__xludf.DUMMYFUNCTION("""COMPUTED_VALUE"""),33000)</f>
        <v>33000</v>
      </c>
      <c r="L9" t="str">
        <f ca="1">IFERROR(__xludf.DUMMYFUNCTION("""COMPUTED_VALUE"""),"ЖМЕРИНКА")</f>
        <v>ЖМЕРИНКА</v>
      </c>
      <c r="M9" t="str">
        <f ca="1">IFERROR(__xludf.DUMMYFUNCTION("""COMPUTED_VALUE"""),"27.07.21 16-12")</f>
        <v>27.07.21 16-12</v>
      </c>
      <c r="N9" t="str">
        <f ca="1">IFERROR(__xludf.DUMMYFUNCTION("""COMPUTED_VALUE"""),"63 ВУ36")</f>
        <v>63 ВУ36</v>
      </c>
      <c r="O9">
        <f ca="1">IFERROR(__xludf.DUMMYFUNCTION("""COMPUTED_VALUE"""),33000)</f>
        <v>33000</v>
      </c>
      <c r="P9" t="str">
        <f ca="1">IFERROR(__xludf.DUMMYFUNCTION("""COMPUTED_VALUE"""),"ЖМЕРИНКА")</f>
        <v>ЖМЕРИНКА</v>
      </c>
      <c r="Q9">
        <f ca="1">IFERROR(__xludf.DUMMYFUNCTION("""COMPUTED_VALUE"""),36000)</f>
        <v>36000</v>
      </c>
      <c r="R9" t="str">
        <f ca="1">IFERROR(__xludf.DUMMYFUNCTION("""COMPUTED_VALUE"""),"ТЕРНОПОЛЬ")</f>
        <v>ТЕРНОПОЛЬ</v>
      </c>
      <c r="S9" t="str">
        <f ca="1">IFERROR(__xludf.DUMMYFUNCTION("""COMPUTED_VALUE"""),"13.07.21 19-00")</f>
        <v>13.07.21 19-00</v>
      </c>
      <c r="T9">
        <f ca="1">IFERROR(__xludf.DUMMYFUNCTION("""COMPUTED_VALUE"""),8200)</f>
        <v>8200</v>
      </c>
      <c r="U9" t="str">
        <f ca="1">IFERROR(__xludf.DUMMYFUNCTION("""COMPUTED_VALUE"""),"01.03.2023 ТР-1")</f>
        <v>01.03.2023 ТР-1</v>
      </c>
      <c r="Z9" t="str">
        <f ca="1">IFERROR(__xludf.DUMMYFUNCTION("""COMPUTED_VALUE"""),"ООО ""Укррос-Транс""")</f>
        <v>ООО "Укррос-Транс"</v>
      </c>
      <c r="AA9" t="str">
        <f ca="1">IFERROR(__xludf.DUMMYFUNCTION("""COMPUTED_VALUE"""),"11-270")</f>
        <v>11-270</v>
      </c>
      <c r="AB9" t="str">
        <f ca="1">IFERROR(__xludf.DUMMYFUNCTION("""COMPUTED_VALUE"""),"32 Ю-ЗАП")</f>
        <v>32 Ю-ЗАП</v>
      </c>
      <c r="AC9" t="str">
        <f ca="1">IFERROR(__xludf.DUMMYFUNCTION("""COMPUTED_VALUE"""),"33000 ЖМЕРИНКА")</f>
        <v>33000 ЖМЕРИНКА</v>
      </c>
      <c r="AD9" t="str">
        <f ca="1">IFERROR(__xludf.DUMMYFUNCTION("""COMPUTED_VALUE"""),"15.07.21 09-53")</f>
        <v>15.07.21 09-53</v>
      </c>
      <c r="AE9" t="str">
        <f ca="1">IFERROR(__xludf.DUMMYFUNCTION("""COMPUTED_VALUE"""),"570 ИCТEК КAЛЕНДАРНЫЙ CPOК ДEПOВCКОГО PEМOНТA")</f>
        <v>570 ИCТEК КAЛЕНДАРНЫЙ CPOК ДEПOВCКОГО PEМOНТA</v>
      </c>
      <c r="AF9" t="str">
        <f ca="1">IFERROR(__xludf.DUMMYFUNCTION("""COMPUTED_VALUE"""),"32 Ю-ЗАП")</f>
        <v>32 Ю-ЗАП</v>
      </c>
      <c r="AG9" t="str">
        <f ca="1">IFERROR(__xludf.DUMMYFUNCTION("""COMPUTED_VALUE"""),"33000 ЖМЕРИНКА")</f>
        <v>33000 ЖМЕРИНКА</v>
      </c>
      <c r="AH9" t="str">
        <f ca="1">IFERROR(__xludf.DUMMYFUNCTION("""COMPUTED_VALUE"""),"27.07.21 16-12")</f>
        <v>27.07.21 16-12</v>
      </c>
      <c r="AI9" s="21">
        <f ca="1">IFERROR(__xludf.DUMMYFUNCTION("""COMPUTED_VALUE"""),44420.3576504629)</f>
        <v>44420.357650462902</v>
      </c>
    </row>
    <row r="10" spans="1:35" ht="15.75" customHeight="1" x14ac:dyDescent="0.15">
      <c r="A10">
        <f ca="1">IFERROR(__xludf.DUMMYFUNCTION("""COMPUTED_VALUE"""),7)</f>
        <v>7</v>
      </c>
      <c r="B10" t="str">
        <f ca="1">IFERROR(__xludf.DUMMYFUNCTION("""COMPUTED_VALUE"""),"ТЛГ")</f>
        <v>ТЛГ</v>
      </c>
      <c r="C10" t="str">
        <f ca="1">IFERROR(__xludf.DUMMYFUNCTION("""COMPUTED_VALUE"""),"ООО ""Укррос-Транс""")</f>
        <v>ООО "Укррос-Транс"</v>
      </c>
      <c r="D10">
        <f ca="1">IFERROR(__xludf.DUMMYFUNCTION("""COMPUTED_VALUE"""),52543808)</f>
        <v>52543808</v>
      </c>
      <c r="E10" t="str">
        <f ca="1">IFERROR(__xludf.DUMMYFUNCTION("""COMPUTED_VALUE"""),"20 КРЫТЫЕ")</f>
        <v>20 КРЫТЫЕ</v>
      </c>
      <c r="F10">
        <f ca="1">IFERROR(__xludf.DUMMYFUNCTION("""COMPUTED_VALUE"""),42103)</f>
        <v>42103</v>
      </c>
      <c r="G10" t="str">
        <f ca="1">IFERROR(__xludf.DUMMYFUNCTION("""COMPUTED_VALUE"""),"ВАГОНЫ ЖД СВ")</f>
        <v>ВАГОНЫ ЖД СВ</v>
      </c>
      <c r="H10">
        <f ca="1">IFERROR(__xludf.DUMMYFUNCTION("""COMPUTED_VALUE"""),0)</f>
        <v>0</v>
      </c>
      <c r="I10">
        <f ca="1">IFERROR(__xludf.DUMMYFUNCTION("""COMPUTED_VALUE"""),3925)</f>
        <v>3925</v>
      </c>
      <c r="J10" t="str">
        <f ca="1">IFERROR(__xludf.DUMMYFUNCTION("""COMPUTED_VALUE"""),"3050 (35400-031-46710) КОВЕЛЬ - КРИВ.РОГ-СОР")</f>
        <v>3050 (35400-031-46710) КОВЕЛЬ - КРИВ.РОГ-СОР</v>
      </c>
      <c r="K10">
        <f ca="1">IFERROR(__xludf.DUMMYFUNCTION("""COMPUTED_VALUE"""),46710)</f>
        <v>46710</v>
      </c>
      <c r="L10" t="str">
        <f ca="1">IFERROR(__xludf.DUMMYFUNCTION("""COMPUTED_VALUE"""),"КРИВ.РОГ-СОР")</f>
        <v>КРИВ.РОГ-СОР</v>
      </c>
      <c r="M10" t="str">
        <f ca="1">IFERROR(__xludf.DUMMYFUNCTION("""COMPUTED_VALUE"""),"12.08.21 04-09")</f>
        <v>12.08.21 04-09</v>
      </c>
      <c r="N10" t="str">
        <f ca="1">IFERROR(__xludf.DUMMYFUNCTION("""COMPUTED_VALUE"""),"04 РАСФ")</f>
        <v>04 РАСФ</v>
      </c>
      <c r="O10">
        <f ca="1">IFERROR(__xludf.DUMMYFUNCTION("""COMPUTED_VALUE"""),46600)</f>
        <v>46600</v>
      </c>
      <c r="P10" t="str">
        <f ca="1">IFERROR(__xludf.DUMMYFUNCTION("""COMPUTED_VALUE"""),"НИКОПОЛЬ")</f>
        <v>НИКОПОЛЬ</v>
      </c>
      <c r="Q10">
        <f ca="1">IFERROR(__xludf.DUMMYFUNCTION("""COMPUTED_VALUE"""),35250)</f>
        <v>35250</v>
      </c>
      <c r="R10" t="str">
        <f ca="1">IFERROR(__xludf.DUMMYFUNCTION("""COMPUTED_VALUE"""),"ИЗОВ")</f>
        <v>ИЗОВ</v>
      </c>
      <c r="S10" t="str">
        <f ca="1">IFERROR(__xludf.DUMMYFUNCTION("""COMPUTED_VALUE"""),"03.08.21 13-30")</f>
        <v>03.08.21 13-30</v>
      </c>
      <c r="T10">
        <f ca="1">IFERROR(__xludf.DUMMYFUNCTION("""COMPUTED_VALUE"""),8331)</f>
        <v>8331</v>
      </c>
      <c r="U10" t="str">
        <f ca="1">IFERROR(__xludf.DUMMYFUNCTION("""COMPUTED_VALUE"""),"03.03.2022 ДР")</f>
        <v>03.03.2022 ДР</v>
      </c>
      <c r="Z10" t="str">
        <f ca="1">IFERROR(__xludf.DUMMYFUNCTION("""COMPUTED_VALUE"""),"ООО ""Укррос-Транс""")</f>
        <v>ООО "Укррос-Транс"</v>
      </c>
      <c r="AA10" t="str">
        <f ca="1">IFERROR(__xludf.DUMMYFUNCTION("""COMPUTED_VALUE"""),"Р-9494")</f>
        <v>Р-9494</v>
      </c>
      <c r="AB10" t="str">
        <f ca="1">IFERROR(__xludf.DUMMYFUNCTION("""COMPUTED_VALUE"""),"48 ДОН")</f>
        <v>48 ДОН</v>
      </c>
      <c r="AC10" t="str">
        <f ca="1">IFERROR(__xludf.DUMMYFUNCTION("""COMPUTED_VALUE"""),"49000 ЛИМАН")</f>
        <v>49000 ЛИМАН</v>
      </c>
      <c r="AD10" t="str">
        <f ca="1">IFERROR(__xludf.DUMMYFUNCTION("""COMPUTED_VALUE"""),"30.04.19 21-58")</f>
        <v>30.04.19 21-58</v>
      </c>
      <c r="AE10" t="str">
        <f ca="1">IFERROR(__xludf.DUMMYFUNCTION("""COMPUTED_VALUE"""),"537 НEИCПPAВНOCТЬ ЗAПOPA ДВEPИ")</f>
        <v>537 НEИCПPAВНOCТЬ ЗAПOPA ДВEPИ</v>
      </c>
      <c r="AF10" t="str">
        <f ca="1">IFERROR(__xludf.DUMMYFUNCTION("""COMPUTED_VALUE"""),"48 ДОН")</f>
        <v>48 ДОН</v>
      </c>
      <c r="AG10" t="str">
        <f ca="1">IFERROR(__xludf.DUMMYFUNCTION("""COMPUTED_VALUE"""),"49000 ЛИМАН")</f>
        <v>49000 ЛИМАН</v>
      </c>
      <c r="AH10" t="str">
        <f ca="1">IFERROR(__xludf.DUMMYFUNCTION("""COMPUTED_VALUE"""),"02.05.19 15-00")</f>
        <v>02.05.19 15-00</v>
      </c>
      <c r="AI10" s="21">
        <f ca="1">IFERROR(__xludf.DUMMYFUNCTION("""COMPUTED_VALUE"""),44420.3576504629)</f>
        <v>44420.357650462902</v>
      </c>
    </row>
    <row r="11" spans="1:35" ht="15.75" customHeight="1" x14ac:dyDescent="0.15">
      <c r="A11">
        <f ca="1">IFERROR(__xludf.DUMMYFUNCTION("""COMPUTED_VALUE"""),8)</f>
        <v>8</v>
      </c>
      <c r="B11" t="str">
        <f ca="1">IFERROR(__xludf.DUMMYFUNCTION("""COMPUTED_VALUE"""),"Кнауф")</f>
        <v>Кнауф</v>
      </c>
      <c r="C11" t="str">
        <f ca="1">IFERROR(__xludf.DUMMYFUNCTION("""COMPUTED_VALUE"""),"ООО ""Укррос-Транс""")</f>
        <v>ООО "Укррос-Транс"</v>
      </c>
      <c r="D11">
        <f ca="1">IFERROR(__xludf.DUMMYFUNCTION("""COMPUTED_VALUE"""),52531332)</f>
        <v>52531332</v>
      </c>
      <c r="E11" t="str">
        <f ca="1">IFERROR(__xludf.DUMMYFUNCTION("""COMPUTED_VALUE"""),"20 КРЫТЫЕ")</f>
        <v>20 КРЫТЫЕ</v>
      </c>
      <c r="F11">
        <f ca="1">IFERROR(__xludf.DUMMYFUNCTION("""COMPUTED_VALUE"""),23304)</f>
        <v>23304</v>
      </c>
      <c r="G11" t="str">
        <f ca="1">IFERROR(__xludf.DUMMYFUNCTION("""COMPUTED_VALUE"""),"ГИПС ПР")</f>
        <v>ГИПС ПР</v>
      </c>
      <c r="H11">
        <f ca="1">IFERROR(__xludf.DUMMYFUNCTION("""COMPUTED_VALUE"""),66)</f>
        <v>66</v>
      </c>
      <c r="I11">
        <f ca="1">IFERROR(__xludf.DUMMYFUNCTION("""COMPUTED_VALUE"""),8676)</f>
        <v>8676</v>
      </c>
      <c r="J11" t="str">
        <f ca="1">IFERROR(__xludf.DUMMYFUNCTION("""COMPUTED_VALUE"""),"3510 (49460-045-49000) БАХМУТ - ЛИМАН")</f>
        <v>3510 (49460-045-49000) БАХМУТ - ЛИМАН</v>
      </c>
      <c r="K11">
        <f ca="1">IFERROR(__xludf.DUMMYFUNCTION("""COMPUTED_VALUE"""),49000)</f>
        <v>49000</v>
      </c>
      <c r="L11" t="str">
        <f ca="1">IFERROR(__xludf.DUMMYFUNCTION("""COMPUTED_VALUE"""),"ЛИМАН")</f>
        <v>ЛИМАН</v>
      </c>
      <c r="M11" t="str">
        <f ca="1">IFERROR(__xludf.DUMMYFUNCTION("""COMPUTED_VALUE"""),"11.08.21 18-19")</f>
        <v>11.08.21 18-19</v>
      </c>
      <c r="N11" t="str">
        <f ca="1">IFERROR(__xludf.DUMMYFUNCTION("""COMPUTED_VALUE"""),"04 РАСФ")</f>
        <v>04 РАСФ</v>
      </c>
      <c r="O11">
        <f ca="1">IFERROR(__xludf.DUMMYFUNCTION("""COMPUTED_VALUE"""),36000)</f>
        <v>36000</v>
      </c>
      <c r="P11" t="str">
        <f ca="1">IFERROR(__xludf.DUMMYFUNCTION("""COMPUTED_VALUE"""),"ТЕРНОПОЛЬ")</f>
        <v>ТЕРНОПОЛЬ</v>
      </c>
      <c r="Q11">
        <f ca="1">IFERROR(__xludf.DUMMYFUNCTION("""COMPUTED_VALUE"""),49620)</f>
        <v>49620</v>
      </c>
      <c r="R11" t="str">
        <f ca="1">IFERROR(__xludf.DUMMYFUNCTION("""COMPUTED_VALUE"""),"ДЕКОНСКАЯ")</f>
        <v>ДЕКОНСКАЯ</v>
      </c>
      <c r="S11" t="str">
        <f ca="1">IFERROR(__xludf.DUMMYFUNCTION("""COMPUTED_VALUE"""),"10.08.21 21-00")</f>
        <v>10.08.21 21-00</v>
      </c>
      <c r="T11">
        <f ca="1">IFERROR(__xludf.DUMMYFUNCTION("""COMPUTED_VALUE"""),4149)</f>
        <v>4149</v>
      </c>
      <c r="U11" t="str">
        <f ca="1">IFERROR(__xludf.DUMMYFUNCTION("""COMPUTED_VALUE"""),"28.04.2024 ДР")</f>
        <v>28.04.2024 ДР</v>
      </c>
      <c r="Z11" t="str">
        <f ca="1">IFERROR(__xludf.DUMMYFUNCTION("""COMPUTED_VALUE"""),"ООО ""Укррос-Транс""")</f>
        <v>ООО "Укррос-Транс"</v>
      </c>
      <c r="AA11" t="str">
        <f ca="1">IFERROR(__xludf.DUMMYFUNCTION("""COMPUTED_VALUE"""),"11-270")</f>
        <v>11-270</v>
      </c>
      <c r="AB11" t="str">
        <f ca="1">IFERROR(__xludf.DUMMYFUNCTION("""COMPUTED_VALUE"""),"40 ОД")</f>
        <v>40 ОД</v>
      </c>
      <c r="AC11" t="str">
        <f ca="1">IFERROR(__xludf.DUMMYFUNCTION("""COMPUTED_VALUE"""),"41000 ЗНАМЕНКА")</f>
        <v>41000 ЗНАМЕНКА</v>
      </c>
      <c r="AD11" t="str">
        <f ca="1">IFERROR(__xludf.DUMMYFUNCTION("""COMPUTED_VALUE"""),"23.04.21 06-10")</f>
        <v>23.04.21 06-10</v>
      </c>
      <c r="AE11" t="str">
        <f ca="1">IFERROR(__xludf.DUMMYFUNCTION("""COMPUTED_VALUE"""),"571 ИCТEК КAЛЕНДАРНЫЙ CPOК КAПИТAЛЬНОГО PEМOНТA")</f>
        <v>571 ИCТEК КAЛЕНДАРНЫЙ CPOК КAПИТAЛЬНОГО PEМOНТA</v>
      </c>
      <c r="AF11" t="str">
        <f ca="1">IFERROR(__xludf.DUMMYFUNCTION("""COMPUTED_VALUE"""),"40 ОД")</f>
        <v>40 ОД</v>
      </c>
      <c r="AG11" t="str">
        <f ca="1">IFERROR(__xludf.DUMMYFUNCTION("""COMPUTED_VALUE"""),"41000 ЗНАМЕНКА")</f>
        <v>41000 ЗНАМЕНКА</v>
      </c>
      <c r="AH11" t="str">
        <f ca="1">IFERROR(__xludf.DUMMYFUNCTION("""COMPUTED_VALUE"""),"28.04.21 19-30")</f>
        <v>28.04.21 19-30</v>
      </c>
      <c r="AI11" s="21">
        <f ca="1">IFERROR(__xludf.DUMMYFUNCTION("""COMPUTED_VALUE"""),44420.3576504629)</f>
        <v>44420.357650462902</v>
      </c>
    </row>
    <row r="12" spans="1:35" ht="15.75" customHeight="1" x14ac:dyDescent="0.15">
      <c r="A12">
        <f ca="1">IFERROR(__xludf.DUMMYFUNCTION("""COMPUTED_VALUE"""),9)</f>
        <v>9</v>
      </c>
      <c r="B12" t="str">
        <f ca="1">IFERROR(__xludf.DUMMYFUNCTION("""COMPUTED_VALUE"""),"Костанза")</f>
        <v>Костанза</v>
      </c>
      <c r="C12" t="str">
        <f ca="1">IFERROR(__xludf.DUMMYFUNCTION("""COMPUTED_VALUE"""),"ООО ""Укррос-Транс""")</f>
        <v>ООО "Укррос-Транс"</v>
      </c>
      <c r="D12">
        <f ca="1">IFERROR(__xludf.DUMMYFUNCTION("""COMPUTED_VALUE"""),52416930)</f>
        <v>52416930</v>
      </c>
      <c r="E12" t="str">
        <f ca="1">IFERROR(__xludf.DUMMYFUNCTION("""COMPUTED_VALUE"""),"20 КРЫТЫЕ")</f>
        <v>20 КРЫТЫЕ</v>
      </c>
      <c r="F12">
        <f ca="1">IFERROR(__xludf.DUMMYFUNCTION("""COMPUTED_VALUE"""),42103)</f>
        <v>42103</v>
      </c>
      <c r="G12" t="str">
        <f ca="1">IFERROR(__xludf.DUMMYFUNCTION("""COMPUTED_VALUE"""),"ВАГОНЫ ЖД СВ")</f>
        <v>ВАГОНЫ ЖД СВ</v>
      </c>
      <c r="H12">
        <f ca="1">IFERROR(__xludf.DUMMYFUNCTION("""COMPUTED_VALUE"""),0)</f>
        <v>0</v>
      </c>
      <c r="I12">
        <f ca="1">IFERROR(__xludf.DUMMYFUNCTION("""COMPUTED_VALUE"""),4149)</f>
        <v>4149</v>
      </c>
      <c r="J12" t="str">
        <f ca="1">IFERROR(__xludf.DUMMYFUNCTION("""COMPUTED_VALUE"""),"4833 (49640-038-49460)  - БАХМУТ")</f>
        <v>4833 (49640-038-49460)  - БАХМУТ</v>
      </c>
      <c r="K12">
        <f ca="1">IFERROR(__xludf.DUMMYFUNCTION("""COMPUTED_VALUE"""),49620)</f>
        <v>49620</v>
      </c>
      <c r="L12" t="str">
        <f ca="1">IFERROR(__xludf.DUMMYFUNCTION("""COMPUTED_VALUE"""),"ДЕКОНСКАЯ")</f>
        <v>ДЕКОНСКАЯ</v>
      </c>
      <c r="M12" t="str">
        <f ca="1">IFERROR(__xludf.DUMMYFUNCTION("""COMPUTED_VALUE"""),"08.08.21 11-00")</f>
        <v>08.08.21 11-00</v>
      </c>
      <c r="N12" t="str">
        <f ca="1">IFERROR(__xludf.DUMMYFUNCTION("""COMPUTED_VALUE"""),"98 ОТОТ")</f>
        <v>98 ОТОТ</v>
      </c>
      <c r="O12">
        <f ca="1">IFERROR(__xludf.DUMMYFUNCTION("""COMPUTED_VALUE"""),49620)</f>
        <v>49620</v>
      </c>
      <c r="P12" t="str">
        <f ca="1">IFERROR(__xludf.DUMMYFUNCTION("""COMPUTED_VALUE"""),"ДЕКОНСКАЯ")</f>
        <v>ДЕКОНСКАЯ</v>
      </c>
      <c r="Q12">
        <f ca="1">IFERROR(__xludf.DUMMYFUNCTION("""COMPUTED_VALUE"""),49480)</f>
        <v>49480</v>
      </c>
      <c r="R12" t="str">
        <f ca="1">IFERROR(__xludf.DUMMYFUNCTION("""COMPUTED_VALUE"""),"СОЛЬ")</f>
        <v>СОЛЬ</v>
      </c>
      <c r="S12" t="str">
        <f ca="1">IFERROR(__xludf.DUMMYFUNCTION("""COMPUTED_VALUE"""),"04.08.21 15-35")</f>
        <v>04.08.21 15-35</v>
      </c>
      <c r="T12">
        <f ca="1">IFERROR(__xludf.DUMMYFUNCTION("""COMPUTED_VALUE"""),8200)</f>
        <v>8200</v>
      </c>
      <c r="U12" t="str">
        <f ca="1">IFERROR(__xludf.DUMMYFUNCTION("""COMPUTED_VALUE"""),"28.04.2024 ДР")</f>
        <v>28.04.2024 ДР</v>
      </c>
      <c r="Z12" t="str">
        <f ca="1">IFERROR(__xludf.DUMMYFUNCTION("""COMPUTED_VALUE"""),"ООО ""Укррос-Транс""")</f>
        <v>ООО "Укррос-Транс"</v>
      </c>
      <c r="AA12" t="str">
        <f ca="1">IFERROR(__xludf.DUMMYFUNCTION("""COMPUTED_VALUE"""),"11-217")</f>
        <v>11-217</v>
      </c>
      <c r="AB12" t="str">
        <f ca="1">IFERROR(__xludf.DUMMYFUNCTION("""COMPUTED_VALUE"""),"32 Ю-ЗАП")</f>
        <v>32 Ю-ЗАП</v>
      </c>
      <c r="AC12" t="str">
        <f ca="1">IFERROR(__xludf.DUMMYFUNCTION("""COMPUTED_VALUE"""),"33000 ЖМЕРИНКА")</f>
        <v>33000 ЖМЕРИНКА</v>
      </c>
      <c r="AD12" t="str">
        <f ca="1">IFERROR(__xludf.DUMMYFUNCTION("""COMPUTED_VALUE"""),"18.01.21 13-14")</f>
        <v>18.01.21 13-14</v>
      </c>
      <c r="AE12" t="str">
        <f ca="1">IFERROR(__xludf.DUMMYFUNCTION("""COMPUTED_VALUE"""),"571 ИCТEК КAЛЕНДАРНЫЙ CPOК КAПИТAЛЬНОГО PEМOНТA")</f>
        <v>571 ИCТEК КAЛЕНДАРНЫЙ CPOК КAПИТAЛЬНОГО PEМOНТA</v>
      </c>
      <c r="AF12" t="str">
        <f ca="1">IFERROR(__xludf.DUMMYFUNCTION("""COMPUTED_VALUE"""),"32 Ю-ЗАП")</f>
        <v>32 Ю-ЗАП</v>
      </c>
      <c r="AG12" t="str">
        <f ca="1">IFERROR(__xludf.DUMMYFUNCTION("""COMPUTED_VALUE"""),"33000 ЖМЕРИНКА")</f>
        <v>33000 ЖМЕРИНКА</v>
      </c>
      <c r="AH12" t="str">
        <f ca="1">IFERROR(__xludf.DUMMYFUNCTION("""COMPUTED_VALUE"""),"28.04.21 13-29")</f>
        <v>28.04.21 13-29</v>
      </c>
      <c r="AI12" s="21">
        <f ca="1">IFERROR(__xludf.DUMMYFUNCTION("""COMPUTED_VALUE"""),44420.3576504629)</f>
        <v>44420.357650462902</v>
      </c>
    </row>
    <row r="13" spans="1:35" ht="15.75" customHeight="1" x14ac:dyDescent="0.15">
      <c r="A13">
        <f ca="1">IFERROR(__xludf.DUMMYFUNCTION("""COMPUTED_VALUE"""),10)</f>
        <v>10</v>
      </c>
      <c r="B13" t="str">
        <f ca="1">IFERROR(__xludf.DUMMYFUNCTION("""COMPUTED_VALUE"""),"Кнауф")</f>
        <v>Кнауф</v>
      </c>
      <c r="C13" t="str">
        <f ca="1">IFERROR(__xludf.DUMMYFUNCTION("""COMPUTED_VALUE"""),"ООО ""Укррос-Транс""")</f>
        <v>ООО "Укррос-Транс"</v>
      </c>
      <c r="D13">
        <f ca="1">IFERROR(__xludf.DUMMYFUNCTION("""COMPUTED_VALUE"""),52508256)</f>
        <v>52508256</v>
      </c>
      <c r="E13" t="str">
        <f ca="1">IFERROR(__xludf.DUMMYFUNCTION("""COMPUTED_VALUE"""),"20 КРЫТЫЕ")</f>
        <v>20 КРЫТЫЕ</v>
      </c>
      <c r="F13">
        <f ca="1">IFERROR(__xludf.DUMMYFUNCTION("""COMPUTED_VALUE"""),23304)</f>
        <v>23304</v>
      </c>
      <c r="G13" t="str">
        <f ca="1">IFERROR(__xludf.DUMMYFUNCTION("""COMPUTED_VALUE"""),"ГИПС ПР")</f>
        <v>ГИПС ПР</v>
      </c>
      <c r="H13">
        <f ca="1">IFERROR(__xludf.DUMMYFUNCTION("""COMPUTED_VALUE"""),66)</f>
        <v>66</v>
      </c>
      <c r="I13">
        <f ca="1">IFERROR(__xludf.DUMMYFUNCTION("""COMPUTED_VALUE"""),2188)</f>
        <v>2188</v>
      </c>
      <c r="J13" t="str">
        <f ca="1">IFERROR(__xludf.DUMMYFUNCTION("""COMPUTED_VALUE"""),"2719 (44020-096-32000) ОСНОВА - ДАРНИЦА")</f>
        <v>2719 (44020-096-32000) ОСНОВА - ДАРНИЦА</v>
      </c>
      <c r="K13">
        <f ca="1">IFERROR(__xludf.DUMMYFUNCTION("""COMPUTED_VALUE"""),32000)</f>
        <v>32000</v>
      </c>
      <c r="L13" t="str">
        <f ca="1">IFERROR(__xludf.DUMMYFUNCTION("""COMPUTED_VALUE"""),"ДАРНИЦА")</f>
        <v>ДАРНИЦА</v>
      </c>
      <c r="M13" t="str">
        <f ca="1">IFERROR(__xludf.DUMMYFUNCTION("""COMPUTED_VALUE"""),"11.08.21 22-12")</f>
        <v>11.08.21 22-12</v>
      </c>
      <c r="N13" t="str">
        <f ca="1">IFERROR(__xludf.DUMMYFUNCTION("""COMPUTED_VALUE"""),"04 РАСФ")</f>
        <v>04 РАСФ</v>
      </c>
      <c r="O13">
        <f ca="1">IFERROR(__xludf.DUMMYFUNCTION("""COMPUTED_VALUE"""),36000)</f>
        <v>36000</v>
      </c>
      <c r="P13" t="str">
        <f ca="1">IFERROR(__xludf.DUMMYFUNCTION("""COMPUTED_VALUE"""),"ТЕРНОПОЛЬ")</f>
        <v>ТЕРНОПОЛЬ</v>
      </c>
      <c r="Q13">
        <f ca="1">IFERROR(__xludf.DUMMYFUNCTION("""COMPUTED_VALUE"""),49620)</f>
        <v>49620</v>
      </c>
      <c r="R13" t="str">
        <f ca="1">IFERROR(__xludf.DUMMYFUNCTION("""COMPUTED_VALUE"""),"ДЕКОНСКАЯ")</f>
        <v>ДЕКОНСКАЯ</v>
      </c>
      <c r="S13" t="str">
        <f ca="1">IFERROR(__xludf.DUMMYFUNCTION("""COMPUTED_VALUE"""),"07.08.21 09-00")</f>
        <v>07.08.21 09-00</v>
      </c>
      <c r="T13">
        <f ca="1">IFERROR(__xludf.DUMMYFUNCTION("""COMPUTED_VALUE"""),4149)</f>
        <v>4149</v>
      </c>
      <c r="U13" t="str">
        <f ca="1">IFERROR(__xludf.DUMMYFUNCTION("""COMPUTED_VALUE"""),"21.08.2022 ТР-1")</f>
        <v>21.08.2022 ТР-1</v>
      </c>
      <c r="Z13" t="str">
        <f ca="1">IFERROR(__xludf.DUMMYFUNCTION("""COMPUTED_VALUE"""),"ООО ""Укррос-Транс""")</f>
        <v>ООО "Укррос-Транс"</v>
      </c>
      <c r="AA13" t="str">
        <f ca="1">IFERROR(__xludf.DUMMYFUNCTION("""COMPUTED_VALUE"""),"11-217")</f>
        <v>11-217</v>
      </c>
      <c r="AB13" t="str">
        <f ca="1">IFERROR(__xludf.DUMMYFUNCTION("""COMPUTED_VALUE"""),"40 ОД")</f>
        <v>40 ОД</v>
      </c>
      <c r="AC13" t="str">
        <f ca="1">IFERROR(__xludf.DUMMYFUNCTION("""COMPUTED_VALUE"""),"41000 ЗНАМЕНКА")</f>
        <v>41000 ЗНАМЕНКА</v>
      </c>
      <c r="AD13" t="str">
        <f ca="1">IFERROR(__xludf.DUMMYFUNCTION("""COMPUTED_VALUE"""),"02.10.20 10-00")</f>
        <v>02.10.20 10-00</v>
      </c>
      <c r="AE13" t="str">
        <f ca="1">IFERROR(__xludf.DUMMYFUNCTION("""COMPUTED_VALUE"""),"570 ИCТEК КAЛЕНДАРНЫЙ CPOК ДEПOВCКОГО PEМOНТA")</f>
        <v>570 ИCТEК КAЛЕНДАРНЫЙ CPOК ДEПOВCКОГО PEМOНТA</v>
      </c>
      <c r="AF13" t="str">
        <f ca="1">IFERROR(__xludf.DUMMYFUNCTION("""COMPUTED_VALUE"""),"40 ОД")</f>
        <v>40 ОД</v>
      </c>
      <c r="AG13" t="str">
        <f ca="1">IFERROR(__xludf.DUMMYFUNCTION("""COMPUTED_VALUE"""),"41000 ЗНАМЕНКА")</f>
        <v>41000 ЗНАМЕНКА</v>
      </c>
      <c r="AH13" t="str">
        <f ca="1">IFERROR(__xludf.DUMMYFUNCTION("""COMPUTED_VALUE"""),"07.10.20 17-30")</f>
        <v>07.10.20 17-30</v>
      </c>
      <c r="AI13" s="21">
        <f ca="1">IFERROR(__xludf.DUMMYFUNCTION("""COMPUTED_VALUE"""),44420.3576504629)</f>
        <v>44420.357650462902</v>
      </c>
    </row>
    <row r="14" spans="1:35" ht="15.75" customHeight="1" x14ac:dyDescent="0.15">
      <c r="A14">
        <f ca="1">IFERROR(__xludf.DUMMYFUNCTION("""COMPUTED_VALUE"""),12)</f>
        <v>12</v>
      </c>
      <c r="B14" t="str">
        <f ca="1">IFERROR(__xludf.DUMMYFUNCTION("""COMPUTED_VALUE"""),"Кнауф")</f>
        <v>Кнауф</v>
      </c>
      <c r="C14" t="str">
        <f ca="1">IFERROR(__xludf.DUMMYFUNCTION("""COMPUTED_VALUE"""),"ООО ""Укррос-Транс""")</f>
        <v>ООО "Укррос-Транс"</v>
      </c>
      <c r="D14">
        <f ca="1">IFERROR(__xludf.DUMMYFUNCTION("""COMPUTED_VALUE"""),52416922)</f>
        <v>52416922</v>
      </c>
      <c r="E14" t="str">
        <f ca="1">IFERROR(__xludf.DUMMYFUNCTION("""COMPUTED_VALUE"""),"20 КРЫТЫЕ")</f>
        <v>20 КРЫТЫЕ</v>
      </c>
      <c r="F14">
        <f ca="1">IFERROR(__xludf.DUMMYFUNCTION("""COMPUTED_VALUE"""),42103)</f>
        <v>42103</v>
      </c>
      <c r="G14" t="str">
        <f ca="1">IFERROR(__xludf.DUMMYFUNCTION("""COMPUTED_VALUE"""),"ВАГОНЫ ЖД СВ")</f>
        <v>ВАГОНЫ ЖД СВ</v>
      </c>
      <c r="H14">
        <f ca="1">IFERROR(__xludf.DUMMYFUNCTION("""COMPUTED_VALUE"""),0)</f>
        <v>0</v>
      </c>
      <c r="I14">
        <f ca="1">IFERROR(__xludf.DUMMYFUNCTION("""COMPUTED_VALUE"""),4714)</f>
        <v>4714</v>
      </c>
      <c r="J14" t="str">
        <f ca="1">IFERROR(__xludf.DUMMYFUNCTION("""COMPUTED_VALUE"""),"3503 (44060-037-44020) ИНДУСТРИАЛЬН - ОСНОВА")</f>
        <v>3503 (44060-037-44020) ИНДУСТРИАЛЬН - ОСНОВА</v>
      </c>
      <c r="K14">
        <f ca="1">IFERROR(__xludf.DUMMYFUNCTION("""COMPUTED_VALUE"""),44020)</f>
        <v>44020</v>
      </c>
      <c r="L14" t="str">
        <f ca="1">IFERROR(__xludf.DUMMYFUNCTION("""COMPUTED_VALUE"""),"ОСНОВА")</f>
        <v>ОСНОВА</v>
      </c>
      <c r="M14" t="str">
        <f ca="1">IFERROR(__xludf.DUMMYFUNCTION("""COMPUTED_VALUE"""),"12.08.21 01-21")</f>
        <v>12.08.21 01-21</v>
      </c>
      <c r="N14" t="str">
        <f ca="1">IFERROR(__xludf.DUMMYFUNCTION("""COMPUTED_VALUE"""),"04 РАСФ")</f>
        <v>04 РАСФ</v>
      </c>
      <c r="O14">
        <f ca="1">IFERROR(__xludf.DUMMYFUNCTION("""COMPUTED_VALUE"""),49480)</f>
        <v>49480</v>
      </c>
      <c r="P14" t="str">
        <f ca="1">IFERROR(__xludf.DUMMYFUNCTION("""COMPUTED_VALUE"""),"СОЛЬ")</f>
        <v>СОЛЬ</v>
      </c>
      <c r="Q14">
        <f ca="1">IFERROR(__xludf.DUMMYFUNCTION("""COMPUTED_VALUE"""),44050)</f>
        <v>44050</v>
      </c>
      <c r="R14" t="str">
        <f ca="1">IFERROR(__xludf.DUMMYFUNCTION("""COMPUTED_VALUE"""),"ХАРЬКОВ-БАЛ")</f>
        <v>ХАРЬКОВ-БАЛ</v>
      </c>
      <c r="S14" t="str">
        <f ca="1">IFERROR(__xludf.DUMMYFUNCTION("""COMPUTED_VALUE"""),"10.08.21 14-30")</f>
        <v>10.08.21 14-30</v>
      </c>
      <c r="T14">
        <f ca="1">IFERROR(__xludf.DUMMYFUNCTION("""COMPUTED_VALUE"""),1494)</f>
        <v>1494</v>
      </c>
      <c r="U14" t="str">
        <f ca="1">IFERROR(__xludf.DUMMYFUNCTION("""COMPUTED_VALUE"""),"06.10.2021 КР")</f>
        <v>06.10.2021 КР</v>
      </c>
      <c r="Z14" t="str">
        <f ca="1">IFERROR(__xludf.DUMMYFUNCTION("""COMPUTED_VALUE"""),"ООО ""Укррос-Транс""")</f>
        <v>ООО "Укррос-Транс"</v>
      </c>
      <c r="AA14" t="str">
        <f ca="1">IFERROR(__xludf.DUMMYFUNCTION("""COMPUTED_VALUE"""),"11-217")</f>
        <v>11-217</v>
      </c>
      <c r="AB14" t="str">
        <f ca="1">IFERROR(__xludf.DUMMYFUNCTION("""COMPUTED_VALUE"""),"48 ДОН")</f>
        <v>48 ДОН</v>
      </c>
      <c r="AC14" t="str">
        <f ca="1">IFERROR(__xludf.DUMMYFUNCTION("""COMPUTED_VALUE"""),"49000 ЛИМАН")</f>
        <v>49000 ЛИМАН</v>
      </c>
      <c r="AD14" t="str">
        <f ca="1">IFERROR(__xludf.DUMMYFUNCTION("""COMPUTED_VALUE"""),"05.02.21 16-25")</f>
        <v>05.02.21 16-25</v>
      </c>
      <c r="AE14" t="str">
        <f ca="1">IFERROR(__xludf.DUMMYFUNCTION("""COMPUTED_VALUE"""),"537 НEИCПPAВНOCТЬ ЗAПOPA ДВEPИ")</f>
        <v>537 НEИCПPAВНOCТЬ ЗAПOPA ДВEPИ</v>
      </c>
      <c r="AF14" t="str">
        <f ca="1">IFERROR(__xludf.DUMMYFUNCTION("""COMPUTED_VALUE"""),"48 ДОН")</f>
        <v>48 ДОН</v>
      </c>
      <c r="AG14" t="str">
        <f ca="1">IFERROR(__xludf.DUMMYFUNCTION("""COMPUTED_VALUE"""),"49000 ЛИМАН")</f>
        <v>49000 ЛИМАН</v>
      </c>
      <c r="AH14" t="str">
        <f ca="1">IFERROR(__xludf.DUMMYFUNCTION("""COMPUTED_VALUE"""),"06.02.21 17-00")</f>
        <v>06.02.21 17-00</v>
      </c>
      <c r="AI14" s="21">
        <f ca="1">IFERROR(__xludf.DUMMYFUNCTION("""COMPUTED_VALUE"""),44420.3576504629)</f>
        <v>44420.357650462902</v>
      </c>
    </row>
    <row r="15" spans="1:35" ht="15.75" customHeight="1" x14ac:dyDescent="0.15">
      <c r="A15">
        <f ca="1">IFERROR(__xludf.DUMMYFUNCTION("""COMPUTED_VALUE"""),13)</f>
        <v>13</v>
      </c>
      <c r="B15" t="str">
        <f ca="1">IFERROR(__xludf.DUMMYFUNCTION("""COMPUTED_VALUE"""),"Кнауф")</f>
        <v>Кнауф</v>
      </c>
      <c r="C15" t="str">
        <f ca="1">IFERROR(__xludf.DUMMYFUNCTION("""COMPUTED_VALUE"""),"ООО ""Укррос-Транс""")</f>
        <v>ООО "Укррос-Транс"</v>
      </c>
      <c r="D15">
        <f ca="1">IFERROR(__xludf.DUMMYFUNCTION("""COMPUTED_VALUE"""),52551330)</f>
        <v>52551330</v>
      </c>
      <c r="E15" t="str">
        <f ca="1">IFERROR(__xludf.DUMMYFUNCTION("""COMPUTED_VALUE"""),"20 КРЫТЫЕ")</f>
        <v>20 КРЫТЫЕ</v>
      </c>
      <c r="F15">
        <f ca="1">IFERROR(__xludf.DUMMYFUNCTION("""COMPUTED_VALUE"""),42103)</f>
        <v>42103</v>
      </c>
      <c r="G15" t="str">
        <f ca="1">IFERROR(__xludf.DUMMYFUNCTION("""COMPUTED_VALUE"""),"ВАГОНЫ ЖД СВ")</f>
        <v>ВАГОНЫ ЖД СВ</v>
      </c>
      <c r="H15">
        <f ca="1">IFERROR(__xludf.DUMMYFUNCTION("""COMPUTED_VALUE"""),0)</f>
        <v>0</v>
      </c>
      <c r="I15">
        <f ca="1">IFERROR(__xludf.DUMMYFUNCTION("""COMPUTED_VALUE"""),4149)</f>
        <v>4149</v>
      </c>
      <c r="J15" t="str">
        <f ca="1">IFERROR(__xludf.DUMMYFUNCTION("""COMPUTED_VALUE"""),"3804 (49640-065-49620)  - ДЕКОНСКАЯ")</f>
        <v>3804 (49640-065-49620)  - ДЕКОНСКАЯ</v>
      </c>
      <c r="K15">
        <f ca="1">IFERROR(__xludf.DUMMYFUNCTION("""COMPUTED_VALUE"""),49620)</f>
        <v>49620</v>
      </c>
      <c r="L15" t="str">
        <f ca="1">IFERROR(__xludf.DUMMYFUNCTION("""COMPUTED_VALUE"""),"ДЕКОНСКАЯ")</f>
        <v>ДЕКОНСКАЯ</v>
      </c>
      <c r="M15" t="str">
        <f ca="1">IFERROR(__xludf.DUMMYFUNCTION("""COMPUTED_VALUE"""),"09.08.21 21-00")</f>
        <v>09.08.21 21-00</v>
      </c>
      <c r="N15" t="str">
        <f ca="1">IFERROR(__xludf.DUMMYFUNCTION("""COMPUTED_VALUE"""),"98 ОТОТ")</f>
        <v>98 ОТОТ</v>
      </c>
      <c r="O15">
        <f ca="1">IFERROR(__xludf.DUMMYFUNCTION("""COMPUTED_VALUE"""),49620)</f>
        <v>49620</v>
      </c>
      <c r="P15" t="str">
        <f ca="1">IFERROR(__xludf.DUMMYFUNCTION("""COMPUTED_VALUE"""),"ДЕКОНСКАЯ")</f>
        <v>ДЕКОНСКАЯ</v>
      </c>
      <c r="Q15">
        <f ca="1">IFERROR(__xludf.DUMMYFUNCTION("""COMPUTED_VALUE"""),44050)</f>
        <v>44050</v>
      </c>
      <c r="R15" t="str">
        <f ca="1">IFERROR(__xludf.DUMMYFUNCTION("""COMPUTED_VALUE"""),"ХАРЬКОВ-БАЛ")</f>
        <v>ХАРЬКОВ-БАЛ</v>
      </c>
      <c r="S15" t="str">
        <f ca="1">IFERROR(__xludf.DUMMYFUNCTION("""COMPUTED_VALUE"""),"03.08.21 19-00")</f>
        <v>03.08.21 19-00</v>
      </c>
      <c r="T15">
        <f ca="1">IFERROR(__xludf.DUMMYFUNCTION("""COMPUTED_VALUE"""),1494)</f>
        <v>1494</v>
      </c>
      <c r="U15" t="str">
        <f ca="1">IFERROR(__xludf.DUMMYFUNCTION("""COMPUTED_VALUE"""),"01.03.2023 ТР-1")</f>
        <v>01.03.2023 ТР-1</v>
      </c>
      <c r="Z15" t="str">
        <f ca="1">IFERROR(__xludf.DUMMYFUNCTION("""COMPUTED_VALUE"""),"ООО ""Укррос-Транс""")</f>
        <v>ООО "Укррос-Транс"</v>
      </c>
      <c r="AA15" t="str">
        <f ca="1">IFERROR(__xludf.DUMMYFUNCTION("""COMPUTED_VALUE"""),"11-270")</f>
        <v>11-270</v>
      </c>
      <c r="AB15" t="str">
        <f ca="1">IFERROR(__xludf.DUMMYFUNCTION("""COMPUTED_VALUE"""),"40 ОД")</f>
        <v>40 ОД</v>
      </c>
      <c r="AC15" t="str">
        <f ca="1">IFERROR(__xludf.DUMMYFUNCTION("""COMPUTED_VALUE"""),"41000 ЗНАМЕНКА")</f>
        <v>41000 ЗНАМЕНКА</v>
      </c>
      <c r="AD15" t="str">
        <f ca="1">IFERROR(__xludf.DUMMYFUNCTION("""COMPUTED_VALUE"""),"09.10.20 12-30")</f>
        <v>09.10.20 12-30</v>
      </c>
      <c r="AE15" t="str">
        <f ca="1">IFERROR(__xludf.DUMMYFUNCTION("""COMPUTED_VALUE"""),"570 ИCТEК КAЛЕНДАРНЫЙ CPOК ДEПOВCКОГО PEМOНТA")</f>
        <v>570 ИCТEК КAЛЕНДАРНЫЙ CPOК ДEПOВCКОГО PEМOНТA</v>
      </c>
      <c r="AF15" t="str">
        <f ca="1">IFERROR(__xludf.DUMMYFUNCTION("""COMPUTED_VALUE"""),"40 ОД")</f>
        <v>40 ОД</v>
      </c>
      <c r="AG15" t="str">
        <f ca="1">IFERROR(__xludf.DUMMYFUNCTION("""COMPUTED_VALUE"""),"41000 ЗНАМЕНКА")</f>
        <v>41000 ЗНАМЕНКА</v>
      </c>
      <c r="AH15" t="str">
        <f ca="1">IFERROR(__xludf.DUMMYFUNCTION("""COMPUTED_VALUE"""),"12.10.20 13-30")</f>
        <v>12.10.20 13-30</v>
      </c>
      <c r="AI15" s="21">
        <f ca="1">IFERROR(__xludf.DUMMYFUNCTION("""COMPUTED_VALUE"""),44420.3576504629)</f>
        <v>44420.357650462902</v>
      </c>
    </row>
    <row r="16" spans="1:35" ht="15.75" customHeight="1" x14ac:dyDescent="0.15">
      <c r="A16">
        <f ca="1">IFERROR(__xludf.DUMMYFUNCTION("""COMPUTED_VALUE"""),14)</f>
        <v>14</v>
      </c>
      <c r="B16" t="str">
        <f ca="1">IFERROR(__xludf.DUMMYFUNCTION("""COMPUTED_VALUE"""),"Николаевцемент")</f>
        <v>Николаевцемент</v>
      </c>
      <c r="C16" t="str">
        <f ca="1">IFERROR(__xludf.DUMMYFUNCTION("""COMPUTED_VALUE"""),"ООО ""Укррос-Транс""")</f>
        <v>ООО "Укррос-Транс"</v>
      </c>
      <c r="D16">
        <f ca="1">IFERROR(__xludf.DUMMYFUNCTION("""COMPUTED_VALUE"""),52531340)</f>
        <v>52531340</v>
      </c>
      <c r="E16" t="str">
        <f ca="1">IFERROR(__xludf.DUMMYFUNCTION("""COMPUTED_VALUE"""),"20 КРЫТЫЕ")</f>
        <v>20 КРЫТЫЕ</v>
      </c>
      <c r="F16">
        <f ca="1">IFERROR(__xludf.DUMMYFUNCTION("""COMPUTED_VALUE"""),42103)</f>
        <v>42103</v>
      </c>
      <c r="G16" t="str">
        <f ca="1">IFERROR(__xludf.DUMMYFUNCTION("""COMPUTED_VALUE"""),"ВАГОНЫ ЖД СВ")</f>
        <v>ВАГОНЫ ЖД СВ</v>
      </c>
      <c r="H16">
        <f ca="1">IFERROR(__xludf.DUMMYFUNCTION("""COMPUTED_VALUE"""),0)</f>
        <v>0</v>
      </c>
      <c r="I16">
        <f ca="1">IFERROR(__xludf.DUMMYFUNCTION("""COMPUTED_VALUE"""),4149)</f>
        <v>4149</v>
      </c>
      <c r="J16" t="str">
        <f ca="1">IFERROR(__xludf.DUMMYFUNCTION("""COMPUTED_VALUE"""),"4833 (49640-038-49460)  - БАХМУТ")</f>
        <v>4833 (49640-038-49460)  - БАХМУТ</v>
      </c>
      <c r="K16">
        <f ca="1">IFERROR(__xludf.DUMMYFUNCTION("""COMPUTED_VALUE"""),49620)</f>
        <v>49620</v>
      </c>
      <c r="L16" t="str">
        <f ca="1">IFERROR(__xludf.DUMMYFUNCTION("""COMPUTED_VALUE"""),"ДЕКОНСКАЯ")</f>
        <v>ДЕКОНСКАЯ</v>
      </c>
      <c r="M16" t="str">
        <f ca="1">IFERROR(__xludf.DUMMYFUNCTION("""COMPUTED_VALUE"""),"09.08.21 12-10")</f>
        <v>09.08.21 12-10</v>
      </c>
      <c r="N16" t="str">
        <f ca="1">IFERROR(__xludf.DUMMYFUNCTION("""COMPUTED_VALUE"""),"98 ОТОТ")</f>
        <v>98 ОТОТ</v>
      </c>
      <c r="O16">
        <f ca="1">IFERROR(__xludf.DUMMYFUNCTION("""COMPUTED_VALUE"""),49620)</f>
        <v>49620</v>
      </c>
      <c r="P16" t="str">
        <f ca="1">IFERROR(__xludf.DUMMYFUNCTION("""COMPUTED_VALUE"""),"ДЕКОНСКАЯ")</f>
        <v>ДЕКОНСКАЯ</v>
      </c>
      <c r="Q16">
        <f ca="1">IFERROR(__xludf.DUMMYFUNCTION("""COMPUTED_VALUE"""),45060)</f>
        <v>45060</v>
      </c>
      <c r="R16" t="str">
        <f ca="1">IFERROR(__xludf.DUMMYFUNCTION("""COMPUTED_VALUE"""),"НИЖНЕДНЕПРОВ")</f>
        <v>НИЖНЕДНЕПРОВ</v>
      </c>
      <c r="S16" t="str">
        <f ca="1">IFERROR(__xludf.DUMMYFUNCTION("""COMPUTED_VALUE"""),"05.08.21 21-30")</f>
        <v>05.08.21 21-30</v>
      </c>
      <c r="T16">
        <f ca="1">IFERROR(__xludf.DUMMYFUNCTION("""COMPUTED_VALUE"""),5645)</f>
        <v>5645</v>
      </c>
      <c r="U16" t="str">
        <f ca="1">IFERROR(__xludf.DUMMYFUNCTION("""COMPUTED_VALUE"""),"20.05.2024 ДР")</f>
        <v>20.05.2024 ДР</v>
      </c>
      <c r="Z16" t="str">
        <f ca="1">IFERROR(__xludf.DUMMYFUNCTION("""COMPUTED_VALUE"""),"ООО ""Укррос-Транс""")</f>
        <v>ООО "Укррос-Транс"</v>
      </c>
      <c r="AA16" t="str">
        <f ca="1">IFERROR(__xludf.DUMMYFUNCTION("""COMPUTED_VALUE"""),"11-270")</f>
        <v>11-270</v>
      </c>
      <c r="AB16" t="str">
        <f ca="1">IFERROR(__xludf.DUMMYFUNCTION("""COMPUTED_VALUE"""),"32 Ю-ЗАП")</f>
        <v>32 Ю-ЗАП</v>
      </c>
      <c r="AC16" t="str">
        <f ca="1">IFERROR(__xludf.DUMMYFUNCTION("""COMPUTED_VALUE"""),"33000 ЖМЕРИНКА")</f>
        <v>33000 ЖМЕРИНКА</v>
      </c>
      <c r="AD16" t="str">
        <f ca="1">IFERROR(__xludf.DUMMYFUNCTION("""COMPUTED_VALUE"""),"06.05.21 14-53")</f>
        <v>06.05.21 14-53</v>
      </c>
      <c r="AE16" t="str">
        <f ca="1">IFERROR(__xludf.DUMMYFUNCTION("""COMPUTED_VALUE"""),"571 ИCТEК КAЛЕНДАРНЫЙ CPOК КAПИТAЛЬНОГО PEМOНТA")</f>
        <v>571 ИCТEК КAЛЕНДАРНЫЙ CPOК КAПИТAЛЬНОГО PEМOНТA</v>
      </c>
      <c r="AF16" t="str">
        <f ca="1">IFERROR(__xludf.DUMMYFUNCTION("""COMPUTED_VALUE"""),"32 Ю-ЗАП")</f>
        <v>32 Ю-ЗАП</v>
      </c>
      <c r="AG16" t="str">
        <f ca="1">IFERROR(__xludf.DUMMYFUNCTION("""COMPUTED_VALUE"""),"33000 ЖМЕРИНКА")</f>
        <v>33000 ЖМЕРИНКА</v>
      </c>
      <c r="AH16" t="str">
        <f ca="1">IFERROR(__xludf.DUMMYFUNCTION("""COMPUTED_VALUE"""),"20.05.21 17-10")</f>
        <v>20.05.21 17-10</v>
      </c>
      <c r="AI16" s="21">
        <f ca="1">IFERROR(__xludf.DUMMYFUNCTION("""COMPUTED_VALUE"""),44420.3576504629)</f>
        <v>44420.357650462902</v>
      </c>
    </row>
    <row r="17" spans="1:35" ht="15.75" customHeight="1" x14ac:dyDescent="0.15">
      <c r="A17">
        <f ca="1">IFERROR(__xludf.DUMMYFUNCTION("""COMPUTED_VALUE"""),15)</f>
        <v>15</v>
      </c>
      <c r="B17" t="str">
        <f ca="1">IFERROR(__xludf.DUMMYFUNCTION("""COMPUTED_VALUE"""),"Кнауф")</f>
        <v>Кнауф</v>
      </c>
      <c r="C17" t="str">
        <f ca="1">IFERROR(__xludf.DUMMYFUNCTION("""COMPUTED_VALUE"""),"ООО ""Укррос-Транс""")</f>
        <v>ООО "Укррос-Транс"</v>
      </c>
      <c r="D17">
        <f ca="1">IFERROR(__xludf.DUMMYFUNCTION("""COMPUTED_VALUE"""),52416880)</f>
        <v>52416880</v>
      </c>
      <c r="E17" t="str">
        <f ca="1">IFERROR(__xludf.DUMMYFUNCTION("""COMPUTED_VALUE"""),"20 КРЫТЫЕ")</f>
        <v>20 КРЫТЫЕ</v>
      </c>
      <c r="F17">
        <f ca="1">IFERROR(__xludf.DUMMYFUNCTION("""COMPUTED_VALUE"""),42119)</f>
        <v>42119</v>
      </c>
      <c r="G17" t="str">
        <f ca="1">IFERROR(__xludf.DUMMYFUNCTION("""COMPUTED_VALUE"""),"ВАГОНЫ ЖД РЕМОН")</f>
        <v>ВАГОНЫ ЖД РЕМОН</v>
      </c>
      <c r="H17">
        <f ca="1">IFERROR(__xludf.DUMMYFUNCTION("""COMPUTED_VALUE"""),0)</f>
        <v>0</v>
      </c>
      <c r="I17">
        <f ca="1">IFERROR(__xludf.DUMMYFUNCTION("""COMPUTED_VALUE"""),1426)</f>
        <v>1426</v>
      </c>
      <c r="J17" t="str">
        <f ca="1">IFERROR(__xludf.DUMMYFUNCTION("""COMPUTED_VALUE"""),"2249 (32000-461-33000) ДАРНИЦА - ЖМЕРИНКА")</f>
        <v>2249 (32000-461-33000) ДАРНИЦА - ЖМЕРИНКА</v>
      </c>
      <c r="K17">
        <f ca="1">IFERROR(__xludf.DUMMYFUNCTION("""COMPUTED_VALUE"""),33000)</f>
        <v>33000</v>
      </c>
      <c r="L17" t="str">
        <f ca="1">IFERROR(__xludf.DUMMYFUNCTION("""COMPUTED_VALUE"""),"ЖМЕРИНКА")</f>
        <v>ЖМЕРИНКА</v>
      </c>
      <c r="M17" t="str">
        <f ca="1">IFERROR(__xludf.DUMMYFUNCTION("""COMPUTED_VALUE"""),"27.07.21 16-46")</f>
        <v>27.07.21 16-46</v>
      </c>
      <c r="N17" t="str">
        <f ca="1">IFERROR(__xludf.DUMMYFUNCTION("""COMPUTED_VALUE"""),"63 ВУ36")</f>
        <v>63 ВУ36</v>
      </c>
      <c r="O17">
        <f ca="1">IFERROR(__xludf.DUMMYFUNCTION("""COMPUTED_VALUE"""),33000)</f>
        <v>33000</v>
      </c>
      <c r="P17" t="str">
        <f ca="1">IFERROR(__xludf.DUMMYFUNCTION("""COMPUTED_VALUE"""),"ЖМЕРИНКА")</f>
        <v>ЖМЕРИНКА</v>
      </c>
      <c r="Q17">
        <f ca="1">IFERROR(__xludf.DUMMYFUNCTION("""COMPUTED_VALUE"""),32120)</f>
        <v>32120</v>
      </c>
      <c r="R17" t="str">
        <f ca="1">IFERROR(__xludf.DUMMYFUNCTION("""COMPUTED_VALUE"""),"ВАСИЛЬКОВ I")</f>
        <v>ВАСИЛЬКОВ I</v>
      </c>
      <c r="S17" t="str">
        <f ca="1">IFERROR(__xludf.DUMMYFUNCTION("""COMPUTED_VALUE"""),"23.06.21 10-10")</f>
        <v>23.06.21 10-10</v>
      </c>
      <c r="T17">
        <f ca="1">IFERROR(__xludf.DUMMYFUNCTION("""COMPUTED_VALUE"""),4411)</f>
        <v>4411</v>
      </c>
      <c r="U17" t="str">
        <f ca="1">IFERROR(__xludf.DUMMYFUNCTION("""COMPUTED_VALUE"""),"27.07.2024 ДР")</f>
        <v>27.07.2024 ДР</v>
      </c>
      <c r="Z17" t="str">
        <f ca="1">IFERROR(__xludf.DUMMYFUNCTION("""COMPUTED_VALUE"""),"ООО ""Укррос-Транс""")</f>
        <v>ООО "Укррос-Транс"</v>
      </c>
      <c r="AA17" t="str">
        <f ca="1">IFERROR(__xludf.DUMMYFUNCTION("""COMPUTED_VALUE"""),"11-217")</f>
        <v>11-217</v>
      </c>
      <c r="AB17" t="str">
        <f ca="1">IFERROR(__xludf.DUMMYFUNCTION("""COMPUTED_VALUE"""),"32 Ю-ЗАП")</f>
        <v>32 Ю-ЗАП</v>
      </c>
      <c r="AC17" t="str">
        <f ca="1">IFERROR(__xludf.DUMMYFUNCTION("""COMPUTED_VALUE"""),"33000 ЖМЕРИНКА")</f>
        <v>33000 ЖМЕРИНКА</v>
      </c>
      <c r="AD17" t="str">
        <f ca="1">IFERROR(__xludf.DUMMYFUNCTION("""COMPUTED_VALUE"""),"27.07.21 16-41")</f>
        <v>27.07.21 16-41</v>
      </c>
      <c r="AE17" t="str">
        <f ca="1">IFERROR(__xludf.DUMMYFUNCTION("""COMPUTED_VALUE"""),"571 ИCТEК КAЛЕНДАРНЫЙ CPOК КAПИТAЛЬНОГО PEМOНТA")</f>
        <v>571 ИCТEК КAЛЕНДАРНЫЙ CPOК КAПИТAЛЬНОГО PEМOНТA</v>
      </c>
      <c r="AF17" t="str">
        <f ca="1">IFERROR(__xludf.DUMMYFUNCTION("""COMPUTED_VALUE"""),"32 Ю-ЗАП")</f>
        <v>32 Ю-ЗАП</v>
      </c>
      <c r="AG17" t="str">
        <f ca="1">IFERROR(__xludf.DUMMYFUNCTION("""COMPUTED_VALUE"""),"33000 ЖМЕРИНКА")</f>
        <v>33000 ЖМЕРИНКА</v>
      </c>
      <c r="AH17" t="str">
        <f ca="1">IFERROR(__xludf.DUMMYFUNCTION("""COMPUTED_VALUE"""),"27.07.21 16-46")</f>
        <v>27.07.21 16-46</v>
      </c>
      <c r="AI17" s="21">
        <f ca="1">IFERROR(__xludf.DUMMYFUNCTION("""COMPUTED_VALUE"""),44420.3576504629)</f>
        <v>44420.357650462902</v>
      </c>
    </row>
    <row r="18" spans="1:35" ht="15.75" customHeight="1" x14ac:dyDescent="0.15">
      <c r="A18">
        <f ca="1">IFERROR(__xludf.DUMMYFUNCTION("""COMPUTED_VALUE"""),16)</f>
        <v>16</v>
      </c>
      <c r="B18" t="str">
        <f ca="1">IFERROR(__xludf.DUMMYFUNCTION("""COMPUTED_VALUE"""),"Кнауф")</f>
        <v>Кнауф</v>
      </c>
      <c r="C18" t="str">
        <f ca="1">IFERROR(__xludf.DUMMYFUNCTION("""COMPUTED_VALUE"""),"ООО ""Укррос-Транс""")</f>
        <v>ООО "Укррос-Транс"</v>
      </c>
      <c r="D18">
        <f ca="1">IFERROR(__xludf.DUMMYFUNCTION("""COMPUTED_VALUE"""),52416831)</f>
        <v>52416831</v>
      </c>
      <c r="E18" t="str">
        <f ca="1">IFERROR(__xludf.DUMMYFUNCTION("""COMPUTED_VALUE"""),"20 КРЫТЫЕ")</f>
        <v>20 КРЫТЫЕ</v>
      </c>
      <c r="F18">
        <f ca="1">IFERROR(__xludf.DUMMYFUNCTION("""COMPUTED_VALUE"""),42103)</f>
        <v>42103</v>
      </c>
      <c r="G18" t="str">
        <f ca="1">IFERROR(__xludf.DUMMYFUNCTION("""COMPUTED_VALUE"""),"ВАГОНЫ ЖД СВ")</f>
        <v>ВАГОНЫ ЖД СВ</v>
      </c>
      <c r="H18">
        <f ca="1">IFERROR(__xludf.DUMMYFUNCTION("""COMPUTED_VALUE"""),0)</f>
        <v>0</v>
      </c>
      <c r="I18">
        <f ca="1">IFERROR(__xludf.DUMMYFUNCTION("""COMPUTED_VALUE"""),8199)</f>
        <v>8199</v>
      </c>
      <c r="J18" t="str">
        <f ca="1">IFERROR(__xludf.DUMMYFUNCTION("""COMPUTED_VALUE"""),"3652 (37000-726-37040) ЛЬВОВ - КЛЕПАРОВ")</f>
        <v>3652 (37000-726-37040) ЛЬВОВ - КЛЕПАРОВ</v>
      </c>
      <c r="K18">
        <f ca="1">IFERROR(__xludf.DUMMYFUNCTION("""COMPUTED_VALUE"""),37040)</f>
        <v>37040</v>
      </c>
      <c r="L18" t="str">
        <f ca="1">IFERROR(__xludf.DUMMYFUNCTION("""COMPUTED_VALUE"""),"КЛЕПАРОВ")</f>
        <v>КЛЕПАРОВ</v>
      </c>
      <c r="M18" t="str">
        <f ca="1">IFERROR(__xludf.DUMMYFUNCTION("""COMPUTED_VALUE"""),"12.08.21 03-30")</f>
        <v>12.08.21 03-30</v>
      </c>
      <c r="N18" t="str">
        <f ca="1">IFERROR(__xludf.DUMMYFUNCTION("""COMPUTED_VALUE"""),"01 ПРИБ")</f>
        <v>01 ПРИБ</v>
      </c>
      <c r="O18">
        <f ca="1">IFERROR(__xludf.DUMMYFUNCTION("""COMPUTED_VALUE"""),38830)</f>
        <v>38830</v>
      </c>
      <c r="P18" t="str">
        <f ca="1">IFERROR(__xludf.DUMMYFUNCTION("""COMPUTED_VALUE"""),"ЯМНИЦА")</f>
        <v>ЯМНИЦА</v>
      </c>
      <c r="Q18">
        <f ca="1">IFERROR(__xludf.DUMMYFUNCTION("""COMPUTED_VALUE"""),37030)</f>
        <v>37030</v>
      </c>
      <c r="R18" t="str">
        <f ca="1">IFERROR(__xludf.DUMMYFUNCTION("""COMPUTED_VALUE"""),"СКНИЛОВ")</f>
        <v>СКНИЛОВ</v>
      </c>
      <c r="S18" t="str">
        <f ca="1">IFERROR(__xludf.DUMMYFUNCTION("""COMPUTED_VALUE"""),"09.08.21 13-00")</f>
        <v>09.08.21 13-00</v>
      </c>
      <c r="T18">
        <f ca="1">IFERROR(__xludf.DUMMYFUNCTION("""COMPUTED_VALUE"""),8200)</f>
        <v>8200</v>
      </c>
      <c r="U18" t="str">
        <f ca="1">IFERROR(__xludf.DUMMYFUNCTION("""COMPUTED_VALUE"""),"15.01.2022 ТР-1")</f>
        <v>15.01.2022 ТР-1</v>
      </c>
      <c r="Z18" t="str">
        <f ca="1">IFERROR(__xludf.DUMMYFUNCTION("""COMPUTED_VALUE"""),"ООО ""Укррос-Транс""")</f>
        <v>ООО "Укррос-Транс"</v>
      </c>
      <c r="AA18" t="str">
        <f ca="1">IFERROR(__xludf.DUMMYFUNCTION("""COMPUTED_VALUE"""),"11-217")</f>
        <v>11-217</v>
      </c>
      <c r="AB18" t="str">
        <f ca="1">IFERROR(__xludf.DUMMYFUNCTION("""COMPUTED_VALUE"""),"35 ЛЬВ")</f>
        <v>35 ЛЬВ</v>
      </c>
      <c r="AC18" t="str">
        <f ca="1">IFERROR(__xludf.DUMMYFUNCTION("""COMPUTED_VALUE"""),"38850 ХРЫПЛИН")</f>
        <v>38850 ХРЫПЛИН</v>
      </c>
      <c r="AD18" t="str">
        <f ca="1">IFERROR(__xludf.DUMMYFUNCTION("""COMPUTED_VALUE"""),"18.06.21 19-00")</f>
        <v>18.06.21 19-00</v>
      </c>
      <c r="AE18" t="str">
        <f ca="1">IFERROR(__xludf.DUMMYFUNCTION("""COMPUTED_VALUE"""),"503 OБPЫВ CВAPНOГO ШВA CТOЙКИ")</f>
        <v>503 OБPЫВ CВAPНOГO ШВA CТOЙКИ</v>
      </c>
      <c r="AF18" t="str">
        <f ca="1">IFERROR(__xludf.DUMMYFUNCTION("""COMPUTED_VALUE"""),"35 ЛЬВ")</f>
        <v>35 ЛЬВ</v>
      </c>
      <c r="AG18" t="str">
        <f ca="1">IFERROR(__xludf.DUMMYFUNCTION("""COMPUTED_VALUE"""),"38850 ХРЫПЛИН")</f>
        <v>38850 ХРЫПЛИН</v>
      </c>
      <c r="AH18" t="str">
        <f ca="1">IFERROR(__xludf.DUMMYFUNCTION("""COMPUTED_VALUE"""),"23.06.21 17-30")</f>
        <v>23.06.21 17-30</v>
      </c>
      <c r="AI18" s="21">
        <f ca="1">IFERROR(__xludf.DUMMYFUNCTION("""COMPUTED_VALUE"""),44420.3576504629)</f>
        <v>44420.357650462902</v>
      </c>
    </row>
    <row r="19" spans="1:35" ht="15.75" customHeight="1" x14ac:dyDescent="0.15">
      <c r="A19">
        <f ca="1">IFERROR(__xludf.DUMMYFUNCTION("""COMPUTED_VALUE"""),27)</f>
        <v>27</v>
      </c>
      <c r="B19" t="str">
        <f ca="1">IFERROR(__xludf.DUMMYFUNCTION("""COMPUTED_VALUE"""),"ТЛГ")</f>
        <v>ТЛГ</v>
      </c>
      <c r="C19" t="str">
        <f ca="1">IFERROR(__xludf.DUMMYFUNCTION("""COMPUTED_VALUE"""),"ООО ""Укррос-Транс""")</f>
        <v>ООО "Укррос-Транс"</v>
      </c>
      <c r="D19">
        <f ca="1">IFERROR(__xludf.DUMMYFUNCTION("""COMPUTED_VALUE"""),52542982)</f>
        <v>52542982</v>
      </c>
      <c r="E19" t="str">
        <f ca="1">IFERROR(__xludf.DUMMYFUNCTION("""COMPUTED_VALUE"""),"20 КРЫТЫЕ")</f>
        <v>20 КРЫТЫЕ</v>
      </c>
      <c r="F19">
        <f ca="1">IFERROR(__xludf.DUMMYFUNCTION("""COMPUTED_VALUE"""),42116)</f>
        <v>42116</v>
      </c>
      <c r="G19" t="str">
        <f ca="1">IFERROR(__xludf.DUMMYFUNCTION("""COMPUTED_VALUE"""),"ВАГОН ДЛЯ ПРОВО")</f>
        <v>ВАГОН ДЛЯ ПРОВО</v>
      </c>
      <c r="H19">
        <f ca="1">IFERROR(__xludf.DUMMYFUNCTION("""COMPUTED_VALUE"""),1)</f>
        <v>1</v>
      </c>
      <c r="I19">
        <f ca="1">IFERROR(__xludf.DUMMYFUNCTION("""COMPUTED_VALUE"""),3134)</f>
        <v>3134</v>
      </c>
      <c r="J19" t="str">
        <f ca="1">IFERROR(__xludf.DUMMYFUNCTION("""COMPUTED_VALUE"""),"3001 (47630-445-48620) ФЕДОРОВКА - ВОЛНОВАХА")</f>
        <v>3001 (47630-445-48620) ФЕДОРОВКА - ВОЛНОВАХА</v>
      </c>
      <c r="K19">
        <f ca="1">IFERROR(__xludf.DUMMYFUNCTION("""COMPUTED_VALUE"""),47630)</f>
        <v>47630</v>
      </c>
      <c r="L19" t="str">
        <f ca="1">IFERROR(__xludf.DUMMYFUNCTION("""COMPUTED_VALUE"""),"ФЕДОРОВКА")</f>
        <v>ФЕДОРОВКА</v>
      </c>
      <c r="M19" t="str">
        <f ca="1">IFERROR(__xludf.DUMMYFUNCTION("""COMPUTED_VALUE"""),"11.08.21 17-07")</f>
        <v>11.08.21 17-07</v>
      </c>
      <c r="N19" t="str">
        <f ca="1">IFERROR(__xludf.DUMMYFUNCTION("""COMPUTED_VALUE"""),"85 ПРСТ")</f>
        <v>85 ПРСТ</v>
      </c>
      <c r="O19">
        <f ca="1">IFERROR(__xludf.DUMMYFUNCTION("""COMPUTED_VALUE"""),48560)</f>
        <v>48560</v>
      </c>
      <c r="P19" t="str">
        <f ca="1">IFERROR(__xludf.DUMMYFUNCTION("""COMPUTED_VALUE"""),"МАРИУП-СОРТ")</f>
        <v>МАРИУП-СОРТ</v>
      </c>
      <c r="Q19">
        <f ca="1">IFERROR(__xludf.DUMMYFUNCTION("""COMPUTED_VALUE"""),46600)</f>
        <v>46600</v>
      </c>
      <c r="R19" t="str">
        <f ca="1">IFERROR(__xludf.DUMMYFUNCTION("""COMPUTED_VALUE"""),"НИКОПОЛЬ")</f>
        <v>НИКОПОЛЬ</v>
      </c>
      <c r="S19" t="str">
        <f ca="1">IFERROR(__xludf.DUMMYFUNCTION("""COMPUTED_VALUE"""),"10.08.21 05-50")</f>
        <v>10.08.21 05-50</v>
      </c>
      <c r="T19">
        <f ca="1">IFERROR(__xludf.DUMMYFUNCTION("""COMPUTED_VALUE"""),3925)</f>
        <v>3925</v>
      </c>
      <c r="U19" t="str">
        <f ca="1">IFERROR(__xludf.DUMMYFUNCTION("""COMPUTED_VALUE"""),"11.09.2022 ДР")</f>
        <v>11.09.2022 ДР</v>
      </c>
      <c r="Z19" t="str">
        <f ca="1">IFERROR(__xludf.DUMMYFUNCTION("""COMPUTED_VALUE"""),"ООО ""Укррос-Транс""")</f>
        <v>ООО "Укррос-Транс"</v>
      </c>
      <c r="AA19" t="str">
        <f ca="1">IFERROR(__xludf.DUMMYFUNCTION("""COMPUTED_VALUE"""),"Р-9494")</f>
        <v>Р-9494</v>
      </c>
      <c r="AB19" t="str">
        <f ca="1">IFERROR(__xludf.DUMMYFUNCTION("""COMPUTED_VALUE"""),"40 ОД")</f>
        <v>40 ОД</v>
      </c>
      <c r="AC19" t="str">
        <f ca="1">IFERROR(__xludf.DUMMYFUNCTION("""COMPUTED_VALUE"""),"41000 ЗНАМЕНКА")</f>
        <v>41000 ЗНАМЕНКА</v>
      </c>
      <c r="AD19" t="str">
        <f ca="1">IFERROR(__xludf.DUMMYFUNCTION("""COMPUTED_VALUE"""),"09.09.19 05-00")</f>
        <v>09.09.19 05-00</v>
      </c>
      <c r="AE19" t="str">
        <f ca="1">IFERROR(__xludf.DUMMYFUNCTION("""COMPUTED_VALUE"""),"570 ИCТEК КAЛЕНДАРНЫЙ CPOК ДEПOВCКОГО PEМOНТA")</f>
        <v>570 ИCТEК КAЛЕНДАРНЫЙ CPOК ДEПOВCКОГО PEМOНТA</v>
      </c>
      <c r="AF19" t="str">
        <f ca="1">IFERROR(__xludf.DUMMYFUNCTION("""COMPUTED_VALUE"""),"40 ОД")</f>
        <v>40 ОД</v>
      </c>
      <c r="AG19" t="str">
        <f ca="1">IFERROR(__xludf.DUMMYFUNCTION("""COMPUTED_VALUE"""),"41000 ЗНАМЕНКА")</f>
        <v>41000 ЗНАМЕНКА</v>
      </c>
      <c r="AH19" t="str">
        <f ca="1">IFERROR(__xludf.DUMMYFUNCTION("""COMPUTED_VALUE"""),"11.09.19 15-00")</f>
        <v>11.09.19 15-00</v>
      </c>
      <c r="AI19" s="21">
        <f ca="1">IFERROR(__xludf.DUMMYFUNCTION("""COMPUTED_VALUE"""),44420.3576504629)</f>
        <v>44420.357650462902</v>
      </c>
    </row>
    <row r="20" spans="1:35" ht="15.75" customHeight="1" x14ac:dyDescent="0.15">
      <c r="A20">
        <f ca="1">IFERROR(__xludf.DUMMYFUNCTION("""COMPUTED_VALUE"""),28)</f>
        <v>28</v>
      </c>
      <c r="B20" t="str">
        <f ca="1">IFERROR(__xludf.DUMMYFUNCTION("""COMPUTED_VALUE"""),"ТЛГ")</f>
        <v>ТЛГ</v>
      </c>
      <c r="C20" t="str">
        <f ca="1">IFERROR(__xludf.DUMMYFUNCTION("""COMPUTED_VALUE"""),"ООО ""Укррос-Транс""")</f>
        <v>ООО "Укррос-Транс"</v>
      </c>
      <c r="D20">
        <f ca="1">IFERROR(__xludf.DUMMYFUNCTION("""COMPUTED_VALUE"""),52542735)</f>
        <v>52542735</v>
      </c>
      <c r="E20" t="str">
        <f ca="1">IFERROR(__xludf.DUMMYFUNCTION("""COMPUTED_VALUE"""),"20 КРЫТЫЕ")</f>
        <v>20 КРЫТЫЕ</v>
      </c>
      <c r="F20">
        <f ca="1">IFERROR(__xludf.DUMMYFUNCTION("""COMPUTED_VALUE"""),42116)</f>
        <v>42116</v>
      </c>
      <c r="G20" t="str">
        <f ca="1">IFERROR(__xludf.DUMMYFUNCTION("""COMPUTED_VALUE"""),"ВАГОН ДЛЯ ПРОВО")</f>
        <v>ВАГОН ДЛЯ ПРОВО</v>
      </c>
      <c r="H20">
        <f ca="1">IFERROR(__xludf.DUMMYFUNCTION("""COMPUTED_VALUE"""),1)</f>
        <v>1</v>
      </c>
      <c r="I20">
        <f ca="1">IFERROR(__xludf.DUMMYFUNCTION("""COMPUTED_VALUE"""),8331)</f>
        <v>8331</v>
      </c>
      <c r="J20" t="str">
        <f ca="1">IFERROR(__xludf.DUMMYFUNCTION("""COMPUTED_VALUE"""),"2739 (41000-455-37040) ЗНАМЕНКА - КЛЕПАРОВ")</f>
        <v>2739 (41000-455-37040) ЗНАМЕНКА - КЛЕПАРОВ</v>
      </c>
      <c r="K20">
        <f ca="1">IFERROR(__xludf.DUMMYFUNCTION("""COMPUTED_VALUE"""),36000)</f>
        <v>36000</v>
      </c>
      <c r="L20" t="str">
        <f ca="1">IFERROR(__xludf.DUMMYFUNCTION("""COMPUTED_VALUE"""),"ТЕРНОПОЛЬ")</f>
        <v>ТЕРНОПОЛЬ</v>
      </c>
      <c r="M20" t="str">
        <f ca="1">IFERROR(__xludf.DUMMYFUNCTION("""COMPUTED_VALUE"""),"12.08.21 08-13")</f>
        <v>12.08.21 08-13</v>
      </c>
      <c r="N20" t="str">
        <f ca="1">IFERROR(__xludf.DUMMYFUNCTION("""COMPUTED_VALUE"""),"01 ПРИБ")</f>
        <v>01 ПРИБ</v>
      </c>
      <c r="O20">
        <f ca="1">IFERROR(__xludf.DUMMYFUNCTION("""COMPUTED_VALUE"""),38470)</f>
        <v>38470</v>
      </c>
      <c r="P20" t="str">
        <f ca="1">IFERROR(__xludf.DUMMYFUNCTION("""COMPUTED_VALUE"""),"КОРОЛЕВО")</f>
        <v>КОРОЛЕВО</v>
      </c>
      <c r="Q20">
        <f ca="1">IFERROR(__xludf.DUMMYFUNCTION("""COMPUTED_VALUE"""),46600)</f>
        <v>46600</v>
      </c>
      <c r="R20" t="str">
        <f ca="1">IFERROR(__xludf.DUMMYFUNCTION("""COMPUTED_VALUE"""),"НИКОПОЛЬ")</f>
        <v>НИКОПОЛЬ</v>
      </c>
      <c r="S20" t="str">
        <f ca="1">IFERROR(__xludf.DUMMYFUNCTION("""COMPUTED_VALUE"""),"06.08.21 15-40")</f>
        <v>06.08.21 15-40</v>
      </c>
      <c r="T20">
        <f ca="1">IFERROR(__xludf.DUMMYFUNCTION("""COMPUTED_VALUE"""),3925)</f>
        <v>3925</v>
      </c>
      <c r="U20" t="str">
        <f ca="1">IFERROR(__xludf.DUMMYFUNCTION("""COMPUTED_VALUE"""),"08.02.2022 ДР")</f>
        <v>08.02.2022 ДР</v>
      </c>
      <c r="Z20" t="str">
        <f ca="1">IFERROR(__xludf.DUMMYFUNCTION("""COMPUTED_VALUE"""),"ООО ""Укррос-Транс""")</f>
        <v>ООО "Укррос-Транс"</v>
      </c>
      <c r="AA20" t="str">
        <f ca="1">IFERROR(__xludf.DUMMYFUNCTION("""COMPUTED_VALUE"""),"Р-9494")</f>
        <v>Р-9494</v>
      </c>
      <c r="AB20" t="str">
        <f ca="1">IFERROR(__xludf.DUMMYFUNCTION("""COMPUTED_VALUE"""),"35 ЛЬВ")</f>
        <v>35 ЛЬВ</v>
      </c>
      <c r="AC20" t="str">
        <f ca="1">IFERROR(__xludf.DUMMYFUNCTION("""COMPUTED_VALUE"""),"37000 ЛЬВОВ")</f>
        <v>37000 ЛЬВОВ</v>
      </c>
      <c r="AD20" t="str">
        <f ca="1">IFERROR(__xludf.DUMMYFUNCTION("""COMPUTED_VALUE"""),"20.01.21 21-30")</f>
        <v>20.01.21 21-30</v>
      </c>
      <c r="AE20" t="str">
        <f ca="1">IFERROR(__xludf.DUMMYFUNCTION("""COMPUTED_VALUE"""),"537 НEИCПPAВНOCТЬ ЗAПOPA ДВEPИ")</f>
        <v>537 НEИCПPAВНOCТЬ ЗAПOPA ДВEPИ</v>
      </c>
      <c r="AF20" t="str">
        <f ca="1">IFERROR(__xludf.DUMMYFUNCTION("""COMPUTED_VALUE"""),"35 ЛЬВ")</f>
        <v>35 ЛЬВ</v>
      </c>
      <c r="AG20" t="str">
        <f ca="1">IFERROR(__xludf.DUMMYFUNCTION("""COMPUTED_VALUE"""),"37000 ЛЬВОВ")</f>
        <v>37000 ЛЬВОВ</v>
      </c>
      <c r="AH20" t="str">
        <f ca="1">IFERROR(__xludf.DUMMYFUNCTION("""COMPUTED_VALUE"""),"25.01.21 14-30")</f>
        <v>25.01.21 14-30</v>
      </c>
      <c r="AI20" s="21">
        <f ca="1">IFERROR(__xludf.DUMMYFUNCTION("""COMPUTED_VALUE"""),44420.3576504629)</f>
        <v>44420.357650462902</v>
      </c>
    </row>
    <row r="21" spans="1:35" ht="15.75" customHeight="1" x14ac:dyDescent="0.15">
      <c r="A21">
        <f ca="1">IFERROR(__xludf.DUMMYFUNCTION("""COMPUTED_VALUE"""),29)</f>
        <v>29</v>
      </c>
      <c r="B21" t="str">
        <f ca="1">IFERROR(__xludf.DUMMYFUNCTION("""COMPUTED_VALUE"""),"ТЛГ")</f>
        <v>ТЛГ</v>
      </c>
      <c r="C21" t="str">
        <f ca="1">IFERROR(__xludf.DUMMYFUNCTION("""COMPUTED_VALUE"""),"ООО ""Укррос-Транс""")</f>
        <v>ООО "Укррос-Транс"</v>
      </c>
      <c r="D21">
        <f ca="1">IFERROR(__xludf.DUMMYFUNCTION("""COMPUTED_VALUE"""),52543782)</f>
        <v>52543782</v>
      </c>
      <c r="E21" t="str">
        <f ca="1">IFERROR(__xludf.DUMMYFUNCTION("""COMPUTED_VALUE"""),"20 КРЫТЫЕ")</f>
        <v>20 КРЫТЫЕ</v>
      </c>
      <c r="F21">
        <f ca="1">IFERROR(__xludf.DUMMYFUNCTION("""COMPUTED_VALUE"""),42116)</f>
        <v>42116</v>
      </c>
      <c r="G21" t="str">
        <f ca="1">IFERROR(__xludf.DUMMYFUNCTION("""COMPUTED_VALUE"""),"ВАГОН ДЛЯ ПРОВО")</f>
        <v>ВАГОН ДЛЯ ПРОВО</v>
      </c>
      <c r="H21">
        <f ca="1">IFERROR(__xludf.DUMMYFUNCTION("""COMPUTED_VALUE"""),1)</f>
        <v>1</v>
      </c>
      <c r="I21">
        <f ca="1">IFERROR(__xludf.DUMMYFUNCTION("""COMPUTED_VALUE"""),8331)</f>
        <v>8331</v>
      </c>
      <c r="J21" t="str">
        <f ca="1">IFERROR(__xludf.DUMMYFUNCTION("""COMPUTED_VALUE"""),"3101 (46600-017-46710) НИКОПОЛЬ - КРИВ.РОГ-СОР")</f>
        <v>3101 (46600-017-46710) НИКОПОЛЬ - КРИВ.РОГ-СОР</v>
      </c>
      <c r="K21">
        <f ca="1">IFERROR(__xludf.DUMMYFUNCTION("""COMPUTED_VALUE"""),46640)</f>
        <v>46640</v>
      </c>
      <c r="L21" t="str">
        <f ca="1">IFERROR(__xludf.DUMMYFUNCTION("""COMPUTED_VALUE"""),"ТОК")</f>
        <v>ТОК</v>
      </c>
      <c r="M21" t="str">
        <f ca="1">IFERROR(__xludf.DUMMYFUNCTION("""COMPUTED_VALUE"""),"12.08.21 08-04")</f>
        <v>12.08.21 08-04</v>
      </c>
      <c r="N21" t="str">
        <f ca="1">IFERROR(__xludf.DUMMYFUNCTION("""COMPUTED_VALUE"""),"03 ПРОС")</f>
        <v>03 ПРОС</v>
      </c>
      <c r="O21">
        <f ca="1">IFERROR(__xludf.DUMMYFUNCTION("""COMPUTED_VALUE"""),35250)</f>
        <v>35250</v>
      </c>
      <c r="P21" t="str">
        <f ca="1">IFERROR(__xludf.DUMMYFUNCTION("""COMPUTED_VALUE"""),"ИЗОВ")</f>
        <v>ИЗОВ</v>
      </c>
      <c r="Q21">
        <f ca="1">IFERROR(__xludf.DUMMYFUNCTION("""COMPUTED_VALUE"""),46600)</f>
        <v>46600</v>
      </c>
      <c r="R21" t="str">
        <f ca="1">IFERROR(__xludf.DUMMYFUNCTION("""COMPUTED_VALUE"""),"НИКОПОЛЬ")</f>
        <v>НИКОПОЛЬ</v>
      </c>
      <c r="S21" t="str">
        <f ca="1">IFERROR(__xludf.DUMMYFUNCTION("""COMPUTED_VALUE"""),"11.08.21 02-30")</f>
        <v>11.08.21 02-30</v>
      </c>
      <c r="T21">
        <f ca="1">IFERROR(__xludf.DUMMYFUNCTION("""COMPUTED_VALUE"""),3925)</f>
        <v>3925</v>
      </c>
      <c r="U21" t="str">
        <f ca="1">IFERROR(__xludf.DUMMYFUNCTION("""COMPUTED_VALUE"""),"04.04.2022 ДР")</f>
        <v>04.04.2022 ДР</v>
      </c>
      <c r="Z21" t="str">
        <f ca="1">IFERROR(__xludf.DUMMYFUNCTION("""COMPUTED_VALUE"""),"ООО ""Укррос-Транс""")</f>
        <v>ООО "Укррос-Транс"</v>
      </c>
      <c r="AA21" t="str">
        <f ca="1">IFERROR(__xludf.DUMMYFUNCTION("""COMPUTED_VALUE"""),"Р-9494")</f>
        <v>Р-9494</v>
      </c>
      <c r="AB21" t="str">
        <f ca="1">IFERROR(__xludf.DUMMYFUNCTION("""COMPUTED_VALUE"""),"40 ОД")</f>
        <v>40 ОД</v>
      </c>
      <c r="AC21" t="str">
        <f ca="1">IFERROR(__xludf.DUMMYFUNCTION("""COMPUTED_VALUE"""),"41000 ЗНАМЕНКА")</f>
        <v>41000 ЗНАМЕНКА</v>
      </c>
      <c r="AD21" t="str">
        <f ca="1">IFERROR(__xludf.DUMMYFUNCTION("""COMPUTED_VALUE"""),"04.04.19 05-00")</f>
        <v>04.04.19 05-00</v>
      </c>
      <c r="AE21" t="str">
        <f ca="1">IFERROR(__xludf.DUMMYFUNCTION("""COMPUTED_VALUE"""),"570 ИCТEК КAЛЕНДАРНЫЙ CPOК ДEПOВCКОГО PEМOНТA")</f>
        <v>570 ИCТEК КAЛЕНДАРНЫЙ CPOК ДEПOВCКОГО PEМOНТA</v>
      </c>
      <c r="AF21" t="str">
        <f ca="1">IFERROR(__xludf.DUMMYFUNCTION("""COMPUTED_VALUE"""),"40 ОД")</f>
        <v>40 ОД</v>
      </c>
      <c r="AG21" t="str">
        <f ca="1">IFERROR(__xludf.DUMMYFUNCTION("""COMPUTED_VALUE"""),"41000 ЗНАМЕНКА")</f>
        <v>41000 ЗНАМЕНКА</v>
      </c>
      <c r="AH21" t="str">
        <f ca="1">IFERROR(__xludf.DUMMYFUNCTION("""COMPUTED_VALUE"""),"04.04.19 16-00")</f>
        <v>04.04.19 16-00</v>
      </c>
      <c r="AI21" s="21">
        <f ca="1">IFERROR(__xludf.DUMMYFUNCTION("""COMPUTED_VALUE"""),44420.3576504629)</f>
        <v>44420.357650462902</v>
      </c>
    </row>
    <row r="22" spans="1:35" ht="15.75" customHeight="1" x14ac:dyDescent="0.15">
      <c r="A22">
        <f ca="1">IFERROR(__xludf.DUMMYFUNCTION("""COMPUTED_VALUE"""),41)</f>
        <v>41</v>
      </c>
      <c r="B22" t="str">
        <f ca="1">IFERROR(__xludf.DUMMYFUNCTION("""COMPUTED_VALUE"""),"ТЛГ")</f>
        <v>ТЛГ</v>
      </c>
      <c r="C22" t="str">
        <f ca="1">IFERROR(__xludf.DUMMYFUNCTION("""COMPUTED_VALUE"""),"ООО ""Укррос-Транс""")</f>
        <v>ООО "Укррос-Транс"</v>
      </c>
      <c r="D22">
        <f ca="1">IFERROR(__xludf.DUMMYFUNCTION("""COMPUTED_VALUE"""),52409877)</f>
        <v>52409877</v>
      </c>
      <c r="E22" t="str">
        <f ca="1">IFERROR(__xludf.DUMMYFUNCTION("""COMPUTED_VALUE"""),"20 КРЫТЫЕ")</f>
        <v>20 КРЫТЫЕ</v>
      </c>
      <c r="F22">
        <f ca="1">IFERROR(__xludf.DUMMYFUNCTION("""COMPUTED_VALUE"""),42103)</f>
        <v>42103</v>
      </c>
      <c r="G22" t="str">
        <f ca="1">IFERROR(__xludf.DUMMYFUNCTION("""COMPUTED_VALUE"""),"ВАГОНЫ ЖД СВ")</f>
        <v>ВАГОНЫ ЖД СВ</v>
      </c>
      <c r="H22">
        <f ca="1">IFERROR(__xludf.DUMMYFUNCTION("""COMPUTED_VALUE"""),0)</f>
        <v>0</v>
      </c>
      <c r="I22">
        <f ca="1">IFERROR(__xludf.DUMMYFUNCTION("""COMPUTED_VALUE"""),3925)</f>
        <v>3925</v>
      </c>
      <c r="J22" t="str">
        <f ca="1">IFERROR(__xludf.DUMMYFUNCTION("""COMPUTED_VALUE"""),"1111 (34750-035-32000) ПЕНИЗЕВИЧИ - ДАРНИЦА")</f>
        <v>1111 (34750-035-32000) ПЕНИЗЕВИЧИ - ДАРНИЦА</v>
      </c>
      <c r="K22">
        <f ca="1">IFERROR(__xludf.DUMMYFUNCTION("""COMPUTED_VALUE"""),34750)</f>
        <v>34750</v>
      </c>
      <c r="L22" t="str">
        <f ca="1">IFERROR(__xludf.DUMMYFUNCTION("""COMPUTED_VALUE"""),"ПЕНИЗЕВИЧИ")</f>
        <v>ПЕНИЗЕВИЧИ</v>
      </c>
      <c r="M22" t="str">
        <f ca="1">IFERROR(__xludf.DUMMYFUNCTION("""COMPUTED_VALUE"""),"11.08.21 22-44")</f>
        <v>11.08.21 22-44</v>
      </c>
      <c r="N22" t="str">
        <f ca="1">IFERROR(__xludf.DUMMYFUNCTION("""COMPUTED_VALUE"""),"71 ПРИЦ")</f>
        <v>71 ПРИЦ</v>
      </c>
      <c r="O22">
        <f ca="1">IFERROR(__xludf.DUMMYFUNCTION("""COMPUTED_VALUE"""),46600)</f>
        <v>46600</v>
      </c>
      <c r="P22" t="str">
        <f ca="1">IFERROR(__xludf.DUMMYFUNCTION("""COMPUTED_VALUE"""),"НИКОПОЛЬ")</f>
        <v>НИКОПОЛЬ</v>
      </c>
      <c r="Q22">
        <f ca="1">IFERROR(__xludf.DUMMYFUNCTION("""COMPUTED_VALUE"""),34630)</f>
        <v>34630</v>
      </c>
      <c r="R22" t="str">
        <f ca="1">IFERROR(__xludf.DUMMYFUNCTION("""COMPUTED_VALUE"""),"КОРОСТЕНЬ")</f>
        <v>КОРОСТЕНЬ</v>
      </c>
      <c r="S22" t="str">
        <f ca="1">IFERROR(__xludf.DUMMYFUNCTION("""COMPUTED_VALUE"""),"07.08.21 07-00")</f>
        <v>07.08.21 07-00</v>
      </c>
      <c r="T22">
        <f ca="1">IFERROR(__xludf.DUMMYFUNCTION("""COMPUTED_VALUE"""),8331)</f>
        <v>8331</v>
      </c>
      <c r="U22" t="str">
        <f ca="1">IFERROR(__xludf.DUMMYFUNCTION("""COMPUTED_VALUE"""),"06.02.2022 ТР-1")</f>
        <v>06.02.2022 ТР-1</v>
      </c>
      <c r="Z22" t="str">
        <f ca="1">IFERROR(__xludf.DUMMYFUNCTION("""COMPUTED_VALUE"""),"ООО ""Укррос-Транс""")</f>
        <v>ООО "Укррос-Транс"</v>
      </c>
      <c r="AA22" t="str">
        <f ca="1">IFERROR(__xludf.DUMMYFUNCTION("""COMPUTED_VALUE"""),"11-066-05")</f>
        <v>11-066-05</v>
      </c>
      <c r="AB22" t="str">
        <f ca="1">IFERROR(__xludf.DUMMYFUNCTION("""COMPUTED_VALUE"""),"45 ПРИДН")</f>
        <v>45 ПРИДН</v>
      </c>
      <c r="AC22" t="str">
        <f ca="1">IFERROR(__xludf.DUMMYFUNCTION("""COMPUTED_VALUE"""),"46660 АПОСТОЛОВО")</f>
        <v>46660 АПОСТОЛОВО</v>
      </c>
      <c r="AD22" t="str">
        <f ca="1">IFERROR(__xludf.DUMMYFUNCTION("""COMPUTED_VALUE"""),"11.04.21 09-10")</f>
        <v>11.04.21 09-10</v>
      </c>
      <c r="AE22" t="str">
        <f ca="1">IFERROR(__xludf.DUMMYFUNCTION("""COMPUTED_VALUE"""),"537 НEИCПPAВНOCТЬ ЗAПOPA ДВEPИ")</f>
        <v>537 НEИCПPAВНOCТЬ ЗAПOPA ДВEPИ</v>
      </c>
      <c r="AF22" t="str">
        <f ca="1">IFERROR(__xludf.DUMMYFUNCTION("""COMPUTED_VALUE"""),"45 ПРИДН")</f>
        <v>45 ПРИДН</v>
      </c>
      <c r="AG22" t="str">
        <f ca="1">IFERROR(__xludf.DUMMYFUNCTION("""COMPUTED_VALUE"""),"46660 АПОСТОЛОВО")</f>
        <v>46660 АПОСТОЛОВО</v>
      </c>
      <c r="AH22" t="str">
        <f ca="1">IFERROR(__xludf.DUMMYFUNCTION("""COMPUTED_VALUE"""),"08.06.21 16-00")</f>
        <v>08.06.21 16-00</v>
      </c>
      <c r="AI22" s="21">
        <f ca="1">IFERROR(__xludf.DUMMYFUNCTION("""COMPUTED_VALUE"""),44420.3576504629)</f>
        <v>44420.357650462902</v>
      </c>
    </row>
    <row r="23" spans="1:35" ht="15.75" customHeight="1" x14ac:dyDescent="0.15">
      <c r="A23">
        <f ca="1">IFERROR(__xludf.DUMMYFUNCTION("""COMPUTED_VALUE"""),42)</f>
        <v>42</v>
      </c>
      <c r="B23" t="str">
        <f ca="1">IFERROR(__xludf.DUMMYFUNCTION("""COMPUTED_VALUE"""),"Альта Виста")</f>
        <v>Альта Виста</v>
      </c>
      <c r="C23" t="str">
        <f ca="1">IFERROR(__xludf.DUMMYFUNCTION("""COMPUTED_VALUE"""),"ООО ""Укррос-Транс""")</f>
        <v>ООО "Укррос-Транс"</v>
      </c>
      <c r="D23">
        <f ca="1">IFERROR(__xludf.DUMMYFUNCTION("""COMPUTED_VALUE"""),52414562)</f>
        <v>52414562</v>
      </c>
      <c r="E23" t="str">
        <f ca="1">IFERROR(__xludf.DUMMYFUNCTION("""COMPUTED_VALUE"""),"20 КРЫТЫЕ")</f>
        <v>20 КРЫТЫЕ</v>
      </c>
      <c r="F23">
        <f ca="1">IFERROR(__xludf.DUMMYFUNCTION("""COMPUTED_VALUE"""),42103)</f>
        <v>42103</v>
      </c>
      <c r="G23" t="str">
        <f ca="1">IFERROR(__xludf.DUMMYFUNCTION("""COMPUTED_VALUE"""),"ВАГОНЫ ЖД СВ")</f>
        <v>ВАГОНЫ ЖД СВ</v>
      </c>
      <c r="H23">
        <f ca="1">IFERROR(__xludf.DUMMYFUNCTION("""COMPUTED_VALUE"""),0)</f>
        <v>0</v>
      </c>
      <c r="I23">
        <f ca="1">IFERROR(__xludf.DUMMYFUNCTION("""COMPUTED_VALUE"""),4714)</f>
        <v>4714</v>
      </c>
      <c r="J23" t="str">
        <f ca="1">IFERROR(__xludf.DUMMYFUNCTION("""COMPUTED_VALUE"""),"3802 (49640-066-49620)  - ДЕКОНСКАЯ")</f>
        <v>3802 (49640-066-49620)  - ДЕКОНСКАЯ</v>
      </c>
      <c r="K23">
        <f ca="1">IFERROR(__xludf.DUMMYFUNCTION("""COMPUTED_VALUE"""),49620)</f>
        <v>49620</v>
      </c>
      <c r="L23" t="str">
        <f ca="1">IFERROR(__xludf.DUMMYFUNCTION("""COMPUTED_VALUE"""),"ДЕКОНСКАЯ")</f>
        <v>ДЕКОНСКАЯ</v>
      </c>
      <c r="M23" t="str">
        <f ca="1">IFERROR(__xludf.DUMMYFUNCTION("""COMPUTED_VALUE"""),"11.08.21 20-10")</f>
        <v>11.08.21 20-10</v>
      </c>
      <c r="N23" t="str">
        <f ca="1">IFERROR(__xludf.DUMMYFUNCTION("""COMPUTED_VALUE"""),"97 ОКОТ")</f>
        <v>97 ОКОТ</v>
      </c>
      <c r="O23">
        <f ca="1">IFERROR(__xludf.DUMMYFUNCTION("""COMPUTED_VALUE"""),49480)</f>
        <v>49480</v>
      </c>
      <c r="P23" t="str">
        <f ca="1">IFERROR(__xludf.DUMMYFUNCTION("""COMPUTED_VALUE"""),"СОЛЬ")</f>
        <v>СОЛЬ</v>
      </c>
      <c r="Q23">
        <f ca="1">IFERROR(__xludf.DUMMYFUNCTION("""COMPUTED_VALUE"""),49620)</f>
        <v>49620</v>
      </c>
      <c r="R23" t="str">
        <f ca="1">IFERROR(__xludf.DUMMYFUNCTION("""COMPUTED_VALUE"""),"ДЕКОНСКАЯ")</f>
        <v>ДЕКОНСКАЯ</v>
      </c>
      <c r="S23" t="str">
        <f ca="1">IFERROR(__xludf.DUMMYFUNCTION("""COMPUTED_VALUE"""),"11.08.21 20-10")</f>
        <v>11.08.21 20-10</v>
      </c>
      <c r="T23">
        <f ca="1">IFERROR(__xludf.DUMMYFUNCTION("""COMPUTED_VALUE"""),4149)</f>
        <v>4149</v>
      </c>
      <c r="U23" t="str">
        <f ca="1">IFERROR(__xludf.DUMMYFUNCTION("""COMPUTED_VALUE"""),"06.03.2022 ТР-1")</f>
        <v>06.03.2022 ТР-1</v>
      </c>
      <c r="Z23" t="str">
        <f ca="1">IFERROR(__xludf.DUMMYFUNCTION("""COMPUTED_VALUE"""),"ООО ""Укррос-Транс""")</f>
        <v>ООО "Укррос-Транс"</v>
      </c>
      <c r="AA23" t="str">
        <f ca="1">IFERROR(__xludf.DUMMYFUNCTION("""COMPUTED_VALUE"""),"11-066-04")</f>
        <v>11-066-04</v>
      </c>
      <c r="AB23" t="str">
        <f ca="1">IFERROR(__xludf.DUMMYFUNCTION("""COMPUTED_VALUE"""),"43 ЮЖН")</f>
        <v>43 ЮЖН</v>
      </c>
      <c r="AC23" t="str">
        <f ca="1">IFERROR(__xludf.DUMMYFUNCTION("""COMPUTED_VALUE"""),"44020 ОСНОВА")</f>
        <v>44020 ОСНОВА</v>
      </c>
      <c r="AD23" t="str">
        <f ca="1">IFERROR(__xludf.DUMMYFUNCTION("""COMPUTED_VALUE"""),"04.08.21 11-55")</f>
        <v>04.08.21 11-55</v>
      </c>
      <c r="AE23" t="str">
        <f ca="1">IFERROR(__xludf.DUMMYFUNCTION("""COMPUTED_VALUE"""),"380 ТPEЩИНА ЦEНТPИPУЮЩEЙ БAЛКИ")</f>
        <v>380 ТPEЩИНА ЦEНТPИPУЮЩEЙ БAЛКИ</v>
      </c>
      <c r="AF23" t="str">
        <f ca="1">IFERROR(__xludf.DUMMYFUNCTION("""COMPUTED_VALUE"""),"43 ЮЖН")</f>
        <v>43 ЮЖН</v>
      </c>
      <c r="AG23" t="str">
        <f ca="1">IFERROR(__xludf.DUMMYFUNCTION("""COMPUTED_VALUE"""),"44020 ОСНОВА")</f>
        <v>44020 ОСНОВА</v>
      </c>
      <c r="AH23" t="str">
        <f ca="1">IFERROR(__xludf.DUMMYFUNCTION("""COMPUTED_VALUE"""),"06.08.21 17-10")</f>
        <v>06.08.21 17-10</v>
      </c>
      <c r="AI23" s="21">
        <f ca="1">IFERROR(__xludf.DUMMYFUNCTION("""COMPUTED_VALUE"""),44420.3576504629)</f>
        <v>44420.357650462902</v>
      </c>
    </row>
    <row r="24" spans="1:35" ht="15.75" customHeight="1" x14ac:dyDescent="0.15">
      <c r="A24">
        <f ca="1">IFERROR(__xludf.DUMMYFUNCTION("""COMPUTED_VALUE"""),57)</f>
        <v>57</v>
      </c>
      <c r="B24" t="str">
        <f ca="1">IFERROR(__xludf.DUMMYFUNCTION("""COMPUTED_VALUE"""),"ТЛГ")</f>
        <v>ТЛГ</v>
      </c>
      <c r="C24" t="str">
        <f ca="1">IFERROR(__xludf.DUMMYFUNCTION("""COMPUTED_VALUE"""),"ООО ""Укррос-Транс""")</f>
        <v>ООО "Укррос-Транс"</v>
      </c>
      <c r="D24">
        <f ca="1">IFERROR(__xludf.DUMMYFUNCTION("""COMPUTED_VALUE"""),52542719)</f>
        <v>52542719</v>
      </c>
      <c r="E24" t="str">
        <f ca="1">IFERROR(__xludf.DUMMYFUNCTION("""COMPUTED_VALUE"""),"20 КРЫТЫЕ")</f>
        <v>20 КРЫТЫЕ</v>
      </c>
      <c r="F24">
        <f ca="1">IFERROR(__xludf.DUMMYFUNCTION("""COMPUTED_VALUE"""),42116)</f>
        <v>42116</v>
      </c>
      <c r="G24" t="str">
        <f ca="1">IFERROR(__xludf.DUMMYFUNCTION("""COMPUTED_VALUE"""),"ВАГОН ДЛЯ ПРОВО")</f>
        <v>ВАГОН ДЛЯ ПРОВО</v>
      </c>
      <c r="H24">
        <f ca="1">IFERROR(__xludf.DUMMYFUNCTION("""COMPUTED_VALUE"""),1)</f>
        <v>1</v>
      </c>
      <c r="I24">
        <f ca="1">IFERROR(__xludf.DUMMYFUNCTION("""COMPUTED_VALUE"""),3925)</f>
        <v>3925</v>
      </c>
      <c r="J24" t="str">
        <f ca="1">IFERROR(__xludf.DUMMYFUNCTION("""COMPUTED_VALUE"""),"2168 (40250-488-46600) ПАРОМНАЯ - НИКОПОЛЬ")</f>
        <v>2168 (40250-488-46600) ПАРОМНАЯ - НИКОПОЛЬ</v>
      </c>
      <c r="K24">
        <f ca="1">IFERROR(__xludf.DUMMYFUNCTION("""COMPUTED_VALUE"""),46600)</f>
        <v>46600</v>
      </c>
      <c r="L24" t="str">
        <f ca="1">IFERROR(__xludf.DUMMYFUNCTION("""COMPUTED_VALUE"""),"НИКОПОЛЬ")</f>
        <v>НИКОПОЛЬ</v>
      </c>
      <c r="M24" t="str">
        <f ca="1">IFERROR(__xludf.DUMMYFUNCTION("""COMPUTED_VALUE"""),"08.08.21 17-20")</f>
        <v>08.08.21 17-20</v>
      </c>
      <c r="N24" t="str">
        <f ca="1">IFERROR(__xludf.DUMMYFUNCTION("""COMPUTED_VALUE"""),"49 ОСВО")</f>
        <v>49 ОСВО</v>
      </c>
      <c r="O24">
        <f ca="1">IFERROR(__xludf.DUMMYFUNCTION("""COMPUTED_VALUE"""),46600)</f>
        <v>46600</v>
      </c>
      <c r="P24" t="str">
        <f ca="1">IFERROR(__xludf.DUMMYFUNCTION("""COMPUTED_VALUE"""),"НИКОПОЛЬ")</f>
        <v>НИКОПОЛЬ</v>
      </c>
      <c r="Q24">
        <f ca="1">IFERROR(__xludf.DUMMYFUNCTION("""COMPUTED_VALUE"""),40250)</f>
        <v>40250</v>
      </c>
      <c r="R24" t="str">
        <f ca="1">IFERROR(__xludf.DUMMYFUNCTION("""COMPUTED_VALUE"""),"ПАРОМНАЯ")</f>
        <v>ПАРОМНАЯ</v>
      </c>
      <c r="S24" t="str">
        <f ca="1">IFERROR(__xludf.DUMMYFUNCTION("""COMPUTED_VALUE"""),"05.08.21 21-20")</f>
        <v>05.08.21 21-20</v>
      </c>
      <c r="T24">
        <f ca="1">IFERROR(__xludf.DUMMYFUNCTION("""COMPUTED_VALUE"""),1185)</f>
        <v>1185</v>
      </c>
      <c r="U24" t="str">
        <f ca="1">IFERROR(__xludf.DUMMYFUNCTION("""COMPUTED_VALUE"""),"05.12.2021 ДР")</f>
        <v>05.12.2021 ДР</v>
      </c>
      <c r="Z24" t="str">
        <f ca="1">IFERROR(__xludf.DUMMYFUNCTION("""COMPUTED_VALUE"""),"ООО ""Укррос-Транс""")</f>
        <v>ООО "Укррос-Транс"</v>
      </c>
      <c r="AA24" t="str">
        <f ca="1">IFERROR(__xludf.DUMMYFUNCTION("""COMPUTED_VALUE"""),"Р-9494")</f>
        <v>Р-9494</v>
      </c>
      <c r="AB24" t="str">
        <f ca="1">IFERROR(__xludf.DUMMYFUNCTION("""COMPUTED_VALUE"""),"40 ОД")</f>
        <v>40 ОД</v>
      </c>
      <c r="AC24" t="str">
        <f ca="1">IFERROR(__xludf.DUMMYFUNCTION("""COMPUTED_VALUE"""),"41000 ЗНАМЕНКА")</f>
        <v>41000 ЗНАМЕНКА</v>
      </c>
      <c r="AD24" t="str">
        <f ca="1">IFERROR(__xludf.DUMMYFUNCTION("""COMPUTED_VALUE"""),"03.12.18 05-00")</f>
        <v>03.12.18 05-00</v>
      </c>
      <c r="AE24" t="str">
        <f ca="1">IFERROR(__xludf.DUMMYFUNCTION("""COMPUTED_VALUE"""),"570 ИCТEК КAЛЕНДАРНЫЙ CPOК ДEПOВCКОГО PEМOНТA")</f>
        <v>570 ИCТEК КAЛЕНДАРНЫЙ CPOК ДEПOВCКОГО PEМOНТA</v>
      </c>
      <c r="AF24" t="str">
        <f ca="1">IFERROR(__xludf.DUMMYFUNCTION("""COMPUTED_VALUE"""),"40 ОД")</f>
        <v>40 ОД</v>
      </c>
      <c r="AG24" t="str">
        <f ca="1">IFERROR(__xludf.DUMMYFUNCTION("""COMPUTED_VALUE"""),"41000 ЗНАМЕНКА")</f>
        <v>41000 ЗНАМЕНКА</v>
      </c>
      <c r="AH24" t="str">
        <f ca="1">IFERROR(__xludf.DUMMYFUNCTION("""COMPUTED_VALUE"""),"05.12.18 11-30")</f>
        <v>05.12.18 11-30</v>
      </c>
      <c r="AI24" s="21">
        <f ca="1">IFERROR(__xludf.DUMMYFUNCTION("""COMPUTED_VALUE"""),44420.3576504629)</f>
        <v>44420.357650462902</v>
      </c>
    </row>
    <row r="25" spans="1:35" ht="15.75" customHeight="1" x14ac:dyDescent="0.15">
      <c r="A25">
        <f ca="1">IFERROR(__xludf.DUMMYFUNCTION("""COMPUTED_VALUE"""),58)</f>
        <v>58</v>
      </c>
      <c r="B25" t="str">
        <f ca="1">IFERROR(__xludf.DUMMYFUNCTION("""COMPUTED_VALUE"""),"ТЛГ")</f>
        <v>ТЛГ</v>
      </c>
      <c r="C25" t="str">
        <f ca="1">IFERROR(__xludf.DUMMYFUNCTION("""COMPUTED_VALUE"""),"ООО ""Укррос-Транс""")</f>
        <v>ООО "Укррос-Транс"</v>
      </c>
      <c r="D25">
        <f ca="1">IFERROR(__xludf.DUMMYFUNCTION("""COMPUTED_VALUE"""),52542701)</f>
        <v>52542701</v>
      </c>
      <c r="E25" t="str">
        <f ca="1">IFERROR(__xludf.DUMMYFUNCTION("""COMPUTED_VALUE"""),"20 КРЫТЫЕ")</f>
        <v>20 КРЫТЫЕ</v>
      </c>
      <c r="F25">
        <f ca="1">IFERROR(__xludf.DUMMYFUNCTION("""COMPUTED_VALUE"""),42103)</f>
        <v>42103</v>
      </c>
      <c r="G25" t="str">
        <f ca="1">IFERROR(__xludf.DUMMYFUNCTION("""COMPUTED_VALUE"""),"ВАГОНЫ ЖД СВ")</f>
        <v>ВАГОНЫ ЖД СВ</v>
      </c>
      <c r="H25">
        <f ca="1">IFERROR(__xludf.DUMMYFUNCTION("""COMPUTED_VALUE"""),0)</f>
        <v>0</v>
      </c>
      <c r="I25">
        <f ca="1">IFERROR(__xludf.DUMMYFUNCTION("""COMPUTED_VALUE"""),3925)</f>
        <v>3925</v>
      </c>
      <c r="J25" t="str">
        <f ca="1">IFERROR(__xludf.DUMMYFUNCTION("""COMPUTED_VALUE"""),"3050 (35400-031-46710) КОВЕЛЬ - КРИВ.РОГ-СОР")</f>
        <v>3050 (35400-031-46710) КОВЕЛЬ - КРИВ.РОГ-СОР</v>
      </c>
      <c r="K25">
        <f ca="1">IFERROR(__xludf.DUMMYFUNCTION("""COMPUTED_VALUE"""),46710)</f>
        <v>46710</v>
      </c>
      <c r="L25" t="str">
        <f ca="1">IFERROR(__xludf.DUMMYFUNCTION("""COMPUTED_VALUE"""),"КРИВ.РОГ-СОР")</f>
        <v>КРИВ.РОГ-СОР</v>
      </c>
      <c r="M25" t="str">
        <f ca="1">IFERROR(__xludf.DUMMYFUNCTION("""COMPUTED_VALUE"""),"12.08.21 04-09")</f>
        <v>12.08.21 04-09</v>
      </c>
      <c r="N25" t="str">
        <f ca="1">IFERROR(__xludf.DUMMYFUNCTION("""COMPUTED_VALUE"""),"04 РАСФ")</f>
        <v>04 РАСФ</v>
      </c>
      <c r="O25">
        <f ca="1">IFERROR(__xludf.DUMMYFUNCTION("""COMPUTED_VALUE"""),46600)</f>
        <v>46600</v>
      </c>
      <c r="P25" t="str">
        <f ca="1">IFERROR(__xludf.DUMMYFUNCTION("""COMPUTED_VALUE"""),"НИКОПОЛЬ")</f>
        <v>НИКОПОЛЬ</v>
      </c>
      <c r="Q25">
        <f ca="1">IFERROR(__xludf.DUMMYFUNCTION("""COMPUTED_VALUE"""),35250)</f>
        <v>35250</v>
      </c>
      <c r="R25" t="str">
        <f ca="1">IFERROR(__xludf.DUMMYFUNCTION("""COMPUTED_VALUE"""),"ИЗОВ")</f>
        <v>ИЗОВ</v>
      </c>
      <c r="S25" t="str">
        <f ca="1">IFERROR(__xludf.DUMMYFUNCTION("""COMPUTED_VALUE"""),"03.08.21 13-16")</f>
        <v>03.08.21 13-16</v>
      </c>
      <c r="T25">
        <f ca="1">IFERROR(__xludf.DUMMYFUNCTION("""COMPUTED_VALUE"""),8331)</f>
        <v>8331</v>
      </c>
      <c r="U25" t="str">
        <f ca="1">IFERROR(__xludf.DUMMYFUNCTION("""COMPUTED_VALUE"""),"13.03.2022 ДР")</f>
        <v>13.03.2022 ДР</v>
      </c>
      <c r="Z25" t="str">
        <f ca="1">IFERROR(__xludf.DUMMYFUNCTION("""COMPUTED_VALUE"""),"ООО ""Укррос-Транс""")</f>
        <v>ООО "Укррос-Транс"</v>
      </c>
      <c r="AA25" t="str">
        <f ca="1">IFERROR(__xludf.DUMMYFUNCTION("""COMPUTED_VALUE"""),"Р-9494")</f>
        <v>Р-9494</v>
      </c>
      <c r="AB25" t="str">
        <f ca="1">IFERROR(__xludf.DUMMYFUNCTION("""COMPUTED_VALUE"""),"43 ЮЖН")</f>
        <v>43 ЮЖН</v>
      </c>
      <c r="AC25" t="str">
        <f ca="1">IFERROR(__xludf.DUMMYFUNCTION("""COMPUTED_VALUE"""),"43000 КУПЯНСК-СОРТ")</f>
        <v>43000 КУПЯНСК-СОРТ</v>
      </c>
      <c r="AD25" t="str">
        <f ca="1">IFERROR(__xludf.DUMMYFUNCTION("""COMPUTED_VALUE"""),"06.03.19 20-02")</f>
        <v>06.03.19 20-02</v>
      </c>
      <c r="AE25" t="str">
        <f ca="1">IFERROR(__xludf.DUMMYFUNCTION("""COMPUTED_VALUE"""),"570 ИCТEК КAЛЕНДАРНЫЙ CPOК ДEПOВCКОГО PEМOНТA")</f>
        <v>570 ИCТEК КAЛЕНДАРНЫЙ CPOК ДEПOВCКОГО PEМOНТA</v>
      </c>
      <c r="AF25" t="str">
        <f ca="1">IFERROR(__xludf.DUMMYFUNCTION("""COMPUTED_VALUE"""),"43 ЮЖН")</f>
        <v>43 ЮЖН</v>
      </c>
      <c r="AG25" t="str">
        <f ca="1">IFERROR(__xludf.DUMMYFUNCTION("""COMPUTED_VALUE"""),"43000 КУПЯНСК-СОРТ")</f>
        <v>43000 КУПЯНСК-СОРТ</v>
      </c>
      <c r="AH25" t="str">
        <f ca="1">IFERROR(__xludf.DUMMYFUNCTION("""COMPUTED_VALUE"""),"13.03.19 10-35")</f>
        <v>13.03.19 10-35</v>
      </c>
      <c r="AI25" s="21">
        <f ca="1">IFERROR(__xludf.DUMMYFUNCTION("""COMPUTED_VALUE"""),44420.3576504629)</f>
        <v>44420.357650462902</v>
      </c>
    </row>
    <row r="26" spans="1:35" ht="15.75" customHeight="1" x14ac:dyDescent="0.15">
      <c r="A26">
        <f ca="1">IFERROR(__xludf.DUMMYFUNCTION("""COMPUTED_VALUE"""),59)</f>
        <v>59</v>
      </c>
      <c r="B26" t="str">
        <f ca="1">IFERROR(__xludf.DUMMYFUNCTION("""COMPUTED_VALUE"""),"ТЛГ")</f>
        <v>ТЛГ</v>
      </c>
      <c r="C26" t="str">
        <f ca="1">IFERROR(__xludf.DUMMYFUNCTION("""COMPUTED_VALUE"""),"ООО ""Укррос-Транс""")</f>
        <v>ООО "Укррос-Транс"</v>
      </c>
      <c r="D26">
        <f ca="1">IFERROR(__xludf.DUMMYFUNCTION("""COMPUTED_VALUE"""),52542669)</f>
        <v>52542669</v>
      </c>
      <c r="E26" t="str">
        <f ca="1">IFERROR(__xludf.DUMMYFUNCTION("""COMPUTED_VALUE"""),"20 КРЫТЫЕ")</f>
        <v>20 КРЫТЫЕ</v>
      </c>
      <c r="F26">
        <f ca="1">IFERROR(__xludf.DUMMYFUNCTION("""COMPUTED_VALUE"""),42116)</f>
        <v>42116</v>
      </c>
      <c r="G26" t="str">
        <f ca="1">IFERROR(__xludf.DUMMYFUNCTION("""COMPUTED_VALUE"""),"ВАГОН ДЛЯ ПРОВО")</f>
        <v>ВАГОН ДЛЯ ПРОВО</v>
      </c>
      <c r="H26">
        <f ca="1">IFERROR(__xludf.DUMMYFUNCTION("""COMPUTED_VALUE"""),1)</f>
        <v>1</v>
      </c>
      <c r="I26">
        <f ca="1">IFERROR(__xludf.DUMMYFUNCTION("""COMPUTED_VALUE"""),3168)</f>
        <v>3168</v>
      </c>
      <c r="J26" t="str">
        <f ca="1">IFERROR(__xludf.DUMMYFUNCTION("""COMPUTED_VALUE"""),"3143 (48620-068-48480) ВОЛНОВАХА - САРТАНА")</f>
        <v>3143 (48620-068-48480) ВОЛНОВАХА - САРТАНА</v>
      </c>
      <c r="K26">
        <f ca="1">IFERROR(__xludf.DUMMYFUNCTION("""COMPUTED_VALUE"""),48480)</f>
        <v>48480</v>
      </c>
      <c r="L26" t="str">
        <f ca="1">IFERROR(__xludf.DUMMYFUNCTION("""COMPUTED_VALUE"""),"САРТАНА")</f>
        <v>САРТАНА</v>
      </c>
      <c r="M26" t="str">
        <f ca="1">IFERROR(__xludf.DUMMYFUNCTION("""COMPUTED_VALUE"""),"11.08.21 06-10")</f>
        <v>11.08.21 06-10</v>
      </c>
      <c r="N26" t="str">
        <f ca="1">IFERROR(__xludf.DUMMYFUNCTION("""COMPUTED_VALUE"""),"49 ОСВО")</f>
        <v>49 ОСВО</v>
      </c>
      <c r="O26">
        <f ca="1">IFERROR(__xludf.DUMMYFUNCTION("""COMPUTED_VALUE"""),48480)</f>
        <v>48480</v>
      </c>
      <c r="P26" t="str">
        <f ca="1">IFERROR(__xludf.DUMMYFUNCTION("""COMPUTED_VALUE"""),"САРТАНА")</f>
        <v>САРТАНА</v>
      </c>
      <c r="Q26">
        <f ca="1">IFERROR(__xludf.DUMMYFUNCTION("""COMPUTED_VALUE"""),46600)</f>
        <v>46600</v>
      </c>
      <c r="R26" t="str">
        <f ca="1">IFERROR(__xludf.DUMMYFUNCTION("""COMPUTED_VALUE"""),"НИКОПОЛЬ")</f>
        <v>НИКОПОЛЬ</v>
      </c>
      <c r="S26" t="str">
        <f ca="1">IFERROR(__xludf.DUMMYFUNCTION("""COMPUTED_VALUE"""),"06.08.21 15-40")</f>
        <v>06.08.21 15-40</v>
      </c>
      <c r="T26">
        <f ca="1">IFERROR(__xludf.DUMMYFUNCTION("""COMPUTED_VALUE"""),3925)</f>
        <v>3925</v>
      </c>
      <c r="U26" t="str">
        <f ca="1">IFERROR(__xludf.DUMMYFUNCTION("""COMPUTED_VALUE"""),"07.10.2021 ДР")</f>
        <v>07.10.2021 ДР</v>
      </c>
      <c r="Z26" t="str">
        <f ca="1">IFERROR(__xludf.DUMMYFUNCTION("""COMPUTED_VALUE"""),"ООО ""Укррос-Транс""")</f>
        <v>ООО "Укррос-Транс"</v>
      </c>
      <c r="AA26" t="str">
        <f ca="1">IFERROR(__xludf.DUMMYFUNCTION("""COMPUTED_VALUE"""),"Р-9494")</f>
        <v>Р-9494</v>
      </c>
      <c r="AB26" t="str">
        <f ca="1">IFERROR(__xludf.DUMMYFUNCTION("""COMPUTED_VALUE"""),"40 ОД")</f>
        <v>40 ОД</v>
      </c>
      <c r="AC26" t="str">
        <f ca="1">IFERROR(__xludf.DUMMYFUNCTION("""COMPUTED_VALUE"""),"41000 ЗНАМЕНКА")</f>
        <v>41000 ЗНАМЕНКА</v>
      </c>
      <c r="AD26" t="str">
        <f ca="1">IFERROR(__xludf.DUMMYFUNCTION("""COMPUTED_VALUE"""),"02.10.18 06-00")</f>
        <v>02.10.18 06-00</v>
      </c>
      <c r="AE26" t="str">
        <f ca="1">IFERROR(__xludf.DUMMYFUNCTION("""COMPUTED_VALUE"""),"570 ИCТEК КAЛЕНДАРНЫЙ CPOК ДEПOВCКОГО PEМOНТA")</f>
        <v>570 ИCТEК КAЛЕНДАРНЫЙ CPOК ДEПOВCКОГО PEМOНТA</v>
      </c>
      <c r="AF26" t="str">
        <f ca="1">IFERROR(__xludf.DUMMYFUNCTION("""COMPUTED_VALUE"""),"40 ОД")</f>
        <v>40 ОД</v>
      </c>
      <c r="AG26" t="str">
        <f ca="1">IFERROR(__xludf.DUMMYFUNCTION("""COMPUTED_VALUE"""),"41000 ЗНАМЕНКА")</f>
        <v>41000 ЗНАМЕНКА</v>
      </c>
      <c r="AH26" t="str">
        <f ca="1">IFERROR(__xludf.DUMMYFUNCTION("""COMPUTED_VALUE"""),"07.10.18 12-00")</f>
        <v>07.10.18 12-00</v>
      </c>
      <c r="AI26" s="21">
        <f ca="1">IFERROR(__xludf.DUMMYFUNCTION("""COMPUTED_VALUE"""),44420.3576504629)</f>
        <v>44420.357650462902</v>
      </c>
    </row>
    <row r="27" spans="1:35" ht="15.75" customHeight="1" x14ac:dyDescent="0.15">
      <c r="A27">
        <f ca="1">IFERROR(__xludf.DUMMYFUNCTION("""COMPUTED_VALUE"""),60)</f>
        <v>60</v>
      </c>
      <c r="B27" t="str">
        <f ca="1">IFERROR(__xludf.DUMMYFUNCTION("""COMPUTED_VALUE"""),"ТЛГ")</f>
        <v>ТЛГ</v>
      </c>
      <c r="C27" t="str">
        <f ca="1">IFERROR(__xludf.DUMMYFUNCTION("""COMPUTED_VALUE"""),"ООО ""Укррос-Транс""")</f>
        <v>ООО "Укррос-Транс"</v>
      </c>
      <c r="D27">
        <f ca="1">IFERROR(__xludf.DUMMYFUNCTION("""COMPUTED_VALUE"""),52542776)</f>
        <v>52542776</v>
      </c>
      <c r="E27" t="str">
        <f ca="1">IFERROR(__xludf.DUMMYFUNCTION("""COMPUTED_VALUE"""),"20 КРЫТЫЕ")</f>
        <v>20 КРЫТЫЕ</v>
      </c>
      <c r="F27">
        <f ca="1">IFERROR(__xludf.DUMMYFUNCTION("""COMPUTED_VALUE"""),42103)</f>
        <v>42103</v>
      </c>
      <c r="G27" t="str">
        <f ca="1">IFERROR(__xludf.DUMMYFUNCTION("""COMPUTED_VALUE"""),"ВАГОНЫ ЖД СВ")</f>
        <v>ВАГОНЫ ЖД СВ</v>
      </c>
      <c r="H27">
        <f ca="1">IFERROR(__xludf.DUMMYFUNCTION("""COMPUTED_VALUE"""),0)</f>
        <v>0</v>
      </c>
      <c r="I27">
        <f ca="1">IFERROR(__xludf.DUMMYFUNCTION("""COMPUTED_VALUE"""),3925)</f>
        <v>3925</v>
      </c>
      <c r="J27" t="str">
        <f ca="1">IFERROR(__xludf.DUMMYFUNCTION("""COMPUTED_VALUE"""),"3160 (35250-077-35400) ИЗОВ - КОВЕЛЬ")</f>
        <v>3160 (35250-077-35400) ИЗОВ - КОВЕЛЬ</v>
      </c>
      <c r="K27">
        <f ca="1">IFERROR(__xludf.DUMMYFUNCTION("""COMPUTED_VALUE"""),35400)</f>
        <v>35400</v>
      </c>
      <c r="L27" t="str">
        <f ca="1">IFERROR(__xludf.DUMMYFUNCTION("""COMPUTED_VALUE"""),"КОВЕЛЬ")</f>
        <v>КОВЕЛЬ</v>
      </c>
      <c r="M27" t="str">
        <f ca="1">IFERROR(__xludf.DUMMYFUNCTION("""COMPUTED_VALUE"""),"10.08.21 18-07")</f>
        <v>10.08.21 18-07</v>
      </c>
      <c r="N27" t="str">
        <f ca="1">IFERROR(__xludf.DUMMYFUNCTION("""COMPUTED_VALUE"""),"72 ОТЦ")</f>
        <v>72 ОТЦ</v>
      </c>
      <c r="O27">
        <f ca="1">IFERROR(__xludf.DUMMYFUNCTION("""COMPUTED_VALUE"""),46600)</f>
        <v>46600</v>
      </c>
      <c r="P27" t="str">
        <f ca="1">IFERROR(__xludf.DUMMYFUNCTION("""COMPUTED_VALUE"""),"НИКОПОЛЬ")</f>
        <v>НИКОПОЛЬ</v>
      </c>
      <c r="Q27">
        <f ca="1">IFERROR(__xludf.DUMMYFUNCTION("""COMPUTED_VALUE"""),35250)</f>
        <v>35250</v>
      </c>
      <c r="R27" t="str">
        <f ca="1">IFERROR(__xludf.DUMMYFUNCTION("""COMPUTED_VALUE"""),"ИЗОВ")</f>
        <v>ИЗОВ</v>
      </c>
      <c r="S27" t="str">
        <f ca="1">IFERROR(__xludf.DUMMYFUNCTION("""COMPUTED_VALUE"""),"09.08.21 11-45")</f>
        <v>09.08.21 11-45</v>
      </c>
      <c r="T27">
        <f ca="1">IFERROR(__xludf.DUMMYFUNCTION("""COMPUTED_VALUE"""),8331)</f>
        <v>8331</v>
      </c>
      <c r="U27" t="str">
        <f ca="1">IFERROR(__xludf.DUMMYFUNCTION("""COMPUTED_VALUE"""),"28.09.2021 ДР")</f>
        <v>28.09.2021 ДР</v>
      </c>
      <c r="Z27" t="str">
        <f ca="1">IFERROR(__xludf.DUMMYFUNCTION("""COMPUTED_VALUE"""),"ООО ""Укррос-Транс""")</f>
        <v>ООО "Укррос-Транс"</v>
      </c>
      <c r="AA27" t="str">
        <f ca="1">IFERROR(__xludf.DUMMYFUNCTION("""COMPUTED_VALUE"""),"Р-9494")</f>
        <v>Р-9494</v>
      </c>
      <c r="AB27" t="str">
        <f ca="1">IFERROR(__xludf.DUMMYFUNCTION("""COMPUTED_VALUE"""),"45 ПРИДН")</f>
        <v>45 ПРИДН</v>
      </c>
      <c r="AC27" t="str">
        <f ca="1">IFERROR(__xludf.DUMMYFUNCTION("""COMPUTED_VALUE"""),"46600 НИКОПОЛЬ")</f>
        <v>46600 НИКОПОЛЬ</v>
      </c>
      <c r="AD27" t="str">
        <f ca="1">IFERROR(__xludf.DUMMYFUNCTION("""COMPUTED_VALUE"""),"14.06.20 08-11")</f>
        <v>14.06.20 08-11</v>
      </c>
      <c r="AE27" t="str">
        <f ca="1">IFERROR(__xludf.DUMMYFUNCTION("""COMPUTED_VALUE"""),"537 НEИCПPAВНOCТЬ ЗAПOPA ДВEPИ")</f>
        <v>537 НEИCПPAВНOCТЬ ЗAПOPA ДВEPИ</v>
      </c>
      <c r="AF27" t="str">
        <f ca="1">IFERROR(__xludf.DUMMYFUNCTION("""COMPUTED_VALUE"""),"45 ПРИДН")</f>
        <v>45 ПРИДН</v>
      </c>
      <c r="AG27" t="str">
        <f ca="1">IFERROR(__xludf.DUMMYFUNCTION("""COMPUTED_VALUE"""),"46600 НИКОПОЛЬ")</f>
        <v>46600 НИКОПОЛЬ</v>
      </c>
      <c r="AH27" t="str">
        <f ca="1">IFERROR(__xludf.DUMMYFUNCTION("""COMPUTED_VALUE"""),"15.06.20 15-30")</f>
        <v>15.06.20 15-30</v>
      </c>
      <c r="AI27" s="21">
        <f ca="1">IFERROR(__xludf.DUMMYFUNCTION("""COMPUTED_VALUE"""),44420.3576504629)</f>
        <v>44420.357650462902</v>
      </c>
    </row>
    <row r="28" spans="1:35" ht="15.75" customHeight="1" x14ac:dyDescent="0.15">
      <c r="A28">
        <f ca="1">IFERROR(__xludf.DUMMYFUNCTION("""COMPUTED_VALUE"""),62)</f>
        <v>62</v>
      </c>
      <c r="B28" t="str">
        <f ca="1">IFERROR(__xludf.DUMMYFUNCTION("""COMPUTED_VALUE"""),"ТЛГ")</f>
        <v>ТЛГ</v>
      </c>
      <c r="C28" t="str">
        <f ca="1">IFERROR(__xludf.DUMMYFUNCTION("""COMPUTED_VALUE"""),"ООО ""Укррос-Транс""")</f>
        <v>ООО "Укррос-Транс"</v>
      </c>
      <c r="D28">
        <f ca="1">IFERROR(__xludf.DUMMYFUNCTION("""COMPUTED_VALUE"""),52542727)</f>
        <v>52542727</v>
      </c>
      <c r="E28" t="str">
        <f ca="1">IFERROR(__xludf.DUMMYFUNCTION("""COMPUTED_VALUE"""),"20 КРЫТЫЕ")</f>
        <v>20 КРЫТЫЕ</v>
      </c>
      <c r="F28">
        <f ca="1">IFERROR(__xludf.DUMMYFUNCTION("""COMPUTED_VALUE"""),42116)</f>
        <v>42116</v>
      </c>
      <c r="G28" t="str">
        <f ca="1">IFERROR(__xludf.DUMMYFUNCTION("""COMPUTED_VALUE"""),"ВАГОН ДЛЯ ПРОВО")</f>
        <v>ВАГОН ДЛЯ ПРОВО</v>
      </c>
      <c r="H28">
        <f ca="1">IFERROR(__xludf.DUMMYFUNCTION("""COMPUTED_VALUE"""),1)</f>
        <v>1</v>
      </c>
      <c r="I28">
        <f ca="1">IFERROR(__xludf.DUMMYFUNCTION("""COMPUTED_VALUE"""),8331)</f>
        <v>8331</v>
      </c>
      <c r="J28" t="str">
        <f ca="1">IFERROR(__xludf.DUMMYFUNCTION("""COMPUTED_VALUE"""),"3007 (42000-044-34440) ИМ.Т.ШЕВЧЕНК - МИРОНОВКА")</f>
        <v>3007 (42000-044-34440) ИМ.Т.ШЕВЧЕНК - МИРОНОВКА</v>
      </c>
      <c r="K28">
        <f ca="1">IFERROR(__xludf.DUMMYFUNCTION("""COMPUTED_VALUE"""),42260)</f>
        <v>42260</v>
      </c>
      <c r="L28" t="str">
        <f ca="1">IFERROR(__xludf.DUMMYFUNCTION("""COMPUTED_VALUE"""),"ЦВЕТКОВО")</f>
        <v>ЦВЕТКОВО</v>
      </c>
      <c r="M28" t="str">
        <f ca="1">IFERROR(__xludf.DUMMYFUNCTION("""COMPUTED_VALUE"""),"11.08.21 22-30")</f>
        <v>11.08.21 22-30</v>
      </c>
      <c r="N28" t="str">
        <f ca="1">IFERROR(__xludf.DUMMYFUNCTION("""COMPUTED_VALUE"""),"06 БРОС")</f>
        <v>06 БРОС</v>
      </c>
      <c r="O28">
        <f ca="1">IFERROR(__xludf.DUMMYFUNCTION("""COMPUTED_VALUE"""),34630)</f>
        <v>34630</v>
      </c>
      <c r="P28" t="str">
        <f ca="1">IFERROR(__xludf.DUMMYFUNCTION("""COMPUTED_VALUE"""),"КОРОСТЕНЬ")</f>
        <v>КОРОСТЕНЬ</v>
      </c>
      <c r="Q28">
        <f ca="1">IFERROR(__xludf.DUMMYFUNCTION("""COMPUTED_VALUE"""),46600)</f>
        <v>46600</v>
      </c>
      <c r="R28" t="str">
        <f ca="1">IFERROR(__xludf.DUMMYFUNCTION("""COMPUTED_VALUE"""),"НИКОПОЛЬ")</f>
        <v>НИКОПОЛЬ</v>
      </c>
      <c r="S28" t="str">
        <f ca="1">IFERROR(__xludf.DUMMYFUNCTION("""COMPUTED_VALUE"""),"07.08.21 03-30")</f>
        <v>07.08.21 03-30</v>
      </c>
      <c r="T28">
        <f ca="1">IFERROR(__xludf.DUMMYFUNCTION("""COMPUTED_VALUE"""),3925)</f>
        <v>3925</v>
      </c>
      <c r="U28" t="str">
        <f ca="1">IFERROR(__xludf.DUMMYFUNCTION("""COMPUTED_VALUE"""),"07.02.2022 ДР")</f>
        <v>07.02.2022 ДР</v>
      </c>
      <c r="Z28" t="str">
        <f ca="1">IFERROR(__xludf.DUMMYFUNCTION("""COMPUTED_VALUE"""),"ООО ""Укррос-Транс""")</f>
        <v>ООО "Укррос-Транс"</v>
      </c>
      <c r="AA28" t="str">
        <f ca="1">IFERROR(__xludf.DUMMYFUNCTION("""COMPUTED_VALUE"""),"Р-9494")</f>
        <v>Р-9494</v>
      </c>
      <c r="AB28" t="str">
        <f ca="1">IFERROR(__xludf.DUMMYFUNCTION("""COMPUTED_VALUE"""),"45 ПРИДН")</f>
        <v>45 ПРИДН</v>
      </c>
      <c r="AC28" t="str">
        <f ca="1">IFERROR(__xludf.DUMMYFUNCTION("""COMPUTED_VALUE"""),"46600 НИКОПОЛЬ")</f>
        <v>46600 НИКОПОЛЬ</v>
      </c>
      <c r="AD28" t="str">
        <f ca="1">IFERROR(__xludf.DUMMYFUNCTION("""COMPUTED_VALUE"""),"29.11.20 08-51")</f>
        <v>29.11.20 08-51</v>
      </c>
      <c r="AE28" t="str">
        <f ca="1">IFERROR(__xludf.DUMMYFUNCTION("""COMPUTED_VALUE"""),"551 ИЗЛOМ/ИЗГИБ ЗOНТA ДВEPИ")</f>
        <v>551 ИЗЛOМ/ИЗГИБ ЗOНТA ДВEPИ</v>
      </c>
      <c r="AF28" t="str">
        <f ca="1">IFERROR(__xludf.DUMMYFUNCTION("""COMPUTED_VALUE"""),"45 ПРИДН")</f>
        <v>45 ПРИДН</v>
      </c>
      <c r="AG28" t="str">
        <f ca="1">IFERROR(__xludf.DUMMYFUNCTION("""COMPUTED_VALUE"""),"46600 НИКОПОЛЬ")</f>
        <v>46600 НИКОПОЛЬ</v>
      </c>
      <c r="AH28" t="str">
        <f ca="1">IFERROR(__xludf.DUMMYFUNCTION("""COMPUTED_VALUE"""),"05.12.20 15-30")</f>
        <v>05.12.20 15-30</v>
      </c>
      <c r="AI28" s="21">
        <f ca="1">IFERROR(__xludf.DUMMYFUNCTION("""COMPUTED_VALUE"""),44420.3576504629)</f>
        <v>44420.357650462902</v>
      </c>
    </row>
    <row r="29" spans="1:35" ht="15.75" customHeight="1" x14ac:dyDescent="0.15">
      <c r="A29">
        <f ca="1">IFERROR(__xludf.DUMMYFUNCTION("""COMPUTED_VALUE"""),108)</f>
        <v>108</v>
      </c>
      <c r="B29" t="str">
        <f ca="1">IFERROR(__xludf.DUMMYFUNCTION("""COMPUTED_VALUE"""),"Кнауф")</f>
        <v>Кнауф</v>
      </c>
      <c r="C29" t="str">
        <f ca="1">IFERROR(__xludf.DUMMYFUNCTION("""COMPUTED_VALUE"""),"Трансфорвардинг")</f>
        <v>Трансфорвардинг</v>
      </c>
      <c r="D29">
        <f ca="1">IFERROR(__xludf.DUMMYFUNCTION("""COMPUTED_VALUE"""),52427531)</f>
        <v>52427531</v>
      </c>
      <c r="E29" t="str">
        <f ca="1">IFERROR(__xludf.DUMMYFUNCTION("""COMPUTED_VALUE"""),"20 КРЫТЫЕ")</f>
        <v>20 КРЫТЫЕ</v>
      </c>
      <c r="F29">
        <f ca="1">IFERROR(__xludf.DUMMYFUNCTION("""COMPUTED_VALUE"""),28114)</f>
        <v>28114</v>
      </c>
      <c r="G29" t="str">
        <f ca="1">IFERROR(__xludf.DUMMYFUNCTION("""COMPUTED_VALUE"""),"ЦЕМЕНТ ПР")</f>
        <v>ЦЕМЕНТ ПР</v>
      </c>
      <c r="H29">
        <f ca="1">IFERROR(__xludf.DUMMYFUNCTION("""COMPUTED_VALUE"""),68)</f>
        <v>68</v>
      </c>
      <c r="I29">
        <f ca="1">IFERROR(__xludf.DUMMYFUNCTION("""COMPUTED_VALUE"""),1494)</f>
        <v>1494</v>
      </c>
      <c r="J29" t="str">
        <f ca="1">IFERROR(__xludf.DUMMYFUNCTION("""COMPUTED_VALUE"""),"9517 (42500-082-44020) КРЕМЕНЧУГ - ОСНОВА")</f>
        <v>9517 (42500-082-44020) КРЕМЕНЧУГ - ОСНОВА</v>
      </c>
      <c r="K29">
        <f ca="1">IFERROR(__xludf.DUMMYFUNCTION("""COMPUTED_VALUE"""),44050)</f>
        <v>44050</v>
      </c>
      <c r="L29" t="str">
        <f ca="1">IFERROR(__xludf.DUMMYFUNCTION("""COMPUTED_VALUE"""),"ХАРЬКОВ-БАЛ")</f>
        <v>ХАРЬКОВ-БАЛ</v>
      </c>
      <c r="M29" t="str">
        <f ca="1">IFERROR(__xludf.DUMMYFUNCTION("""COMPUTED_VALUE"""),"12.08.21 07-10")</f>
        <v>12.08.21 07-10</v>
      </c>
      <c r="N29" t="str">
        <f ca="1">IFERROR(__xludf.DUMMYFUNCTION("""COMPUTED_VALUE"""),"21 ВЫГ2")</f>
        <v>21 ВЫГ2</v>
      </c>
      <c r="O29">
        <f ca="1">IFERROR(__xludf.DUMMYFUNCTION("""COMPUTED_VALUE"""),44050)</f>
        <v>44050</v>
      </c>
      <c r="P29" t="str">
        <f ca="1">IFERROR(__xludf.DUMMYFUNCTION("""COMPUTED_VALUE"""),"ХАРЬКОВ-БАЛ")</f>
        <v>ХАРЬКОВ-БАЛ</v>
      </c>
      <c r="Q29">
        <f ca="1">IFERROR(__xludf.DUMMYFUNCTION("""COMPUTED_VALUE"""),38830)</f>
        <v>38830</v>
      </c>
      <c r="R29" t="str">
        <f ca="1">IFERROR(__xludf.DUMMYFUNCTION("""COMPUTED_VALUE"""),"ЯМНИЦА")</f>
        <v>ЯМНИЦА</v>
      </c>
      <c r="S29" t="str">
        <f ca="1">IFERROR(__xludf.DUMMYFUNCTION("""COMPUTED_VALUE"""),"05.08.21 11-00")</f>
        <v>05.08.21 11-00</v>
      </c>
      <c r="U29" t="str">
        <f ca="1">IFERROR(__xludf.DUMMYFUNCTION("""COMPUTED_VALUE"""),"12.02.2022 ДР")</f>
        <v>12.02.2022 ДР</v>
      </c>
      <c r="Z29" t="str">
        <f ca="1">IFERROR(__xludf.DUMMYFUNCTION("""COMPUTED_VALUE"""),"ЧАО «ТРАНСФОРВАРДИНГ ЛИМИТЕД АГ»")</f>
        <v>ЧАО «ТРАНСФОРВАРДИНГ ЛИМИТЕД АГ»</v>
      </c>
      <c r="AA29" t="str">
        <f ca="1">IFERROR(__xludf.DUMMYFUNCTION("""COMPUTED_VALUE"""),"11-217")</f>
        <v>11-217</v>
      </c>
      <c r="AB29" t="str">
        <f ca="1">IFERROR(__xludf.DUMMYFUNCTION("""COMPUTED_VALUE"""),"32 Ю-ЗАП")</f>
        <v>32 Ю-ЗАП</v>
      </c>
      <c r="AC29" t="str">
        <f ca="1">IFERROR(__xludf.DUMMYFUNCTION("""COMPUTED_VALUE"""),"33000 ЖМЕРИНКА")</f>
        <v>33000 ЖМЕРИНКА</v>
      </c>
      <c r="AD29" t="str">
        <f ca="1">IFERROR(__xludf.DUMMYFUNCTION("""COMPUTED_VALUE"""),"25.06.21 21-30")</f>
        <v>25.06.21 21-30</v>
      </c>
      <c r="AE29" t="str">
        <f ca="1">IFERROR(__xludf.DUMMYFUNCTION("""COMPUTED_VALUE"""),"537 НEИCПPAВНOCТЬ ЗAПOPA ДВEPИ")</f>
        <v>537 НEИCПPAВНOCТЬ ЗAПOPA ДВEPИ</v>
      </c>
      <c r="AF29" t="str">
        <f ca="1">IFERROR(__xludf.DUMMYFUNCTION("""COMPUTED_VALUE"""),"32 Ю-ЗАП")</f>
        <v>32 Ю-ЗАП</v>
      </c>
      <c r="AG29" t="str">
        <f ca="1">IFERROR(__xludf.DUMMYFUNCTION("""COMPUTED_VALUE"""),"33000 ЖМЕРИНКА")</f>
        <v>33000 ЖМЕРИНКА</v>
      </c>
      <c r="AH29" t="str">
        <f ca="1">IFERROR(__xludf.DUMMYFUNCTION("""COMPUTED_VALUE"""),"06.07.21 18-00")</f>
        <v>06.07.21 18-00</v>
      </c>
      <c r="AI29" s="21">
        <f ca="1">IFERROR(__xludf.DUMMYFUNCTION("""COMPUTED_VALUE"""),44420.3576504629)</f>
        <v>44420.357650462902</v>
      </c>
    </row>
    <row r="30" spans="1:35" ht="15.75" customHeight="1" x14ac:dyDescent="0.15">
      <c r="A30">
        <f ca="1">IFERROR(__xludf.DUMMYFUNCTION("""COMPUTED_VALUE"""),109)</f>
        <v>109</v>
      </c>
      <c r="B30" t="str">
        <f ca="1">IFERROR(__xludf.DUMMYFUNCTION("""COMPUTED_VALUE"""),"Жупанов")</f>
        <v>Жупанов</v>
      </c>
      <c r="C30" t="str">
        <f ca="1">IFERROR(__xludf.DUMMYFUNCTION("""COMPUTED_VALUE"""),"Трансфорвардинг")</f>
        <v>Трансфорвардинг</v>
      </c>
      <c r="D30">
        <f ca="1">IFERROR(__xludf.DUMMYFUNCTION("""COMPUTED_VALUE"""),52456670)</f>
        <v>52456670</v>
      </c>
      <c r="E30" t="str">
        <f ca="1">IFERROR(__xludf.DUMMYFUNCTION("""COMPUTED_VALUE"""),"20 КРЫТЫЕ")</f>
        <v>20 КРЫТЫЕ</v>
      </c>
      <c r="F30">
        <f ca="1">IFERROR(__xludf.DUMMYFUNCTION("""COMPUTED_VALUE"""),28114)</f>
        <v>28114</v>
      </c>
      <c r="G30" t="str">
        <f ca="1">IFERROR(__xludf.DUMMYFUNCTION("""COMPUTED_VALUE"""),"ЦЕМЕНТ ПР")</f>
        <v>ЦЕМЕНТ ПР</v>
      </c>
      <c r="H30">
        <f ca="1">IFERROR(__xludf.DUMMYFUNCTION("""COMPUTED_VALUE"""),68)</f>
        <v>68</v>
      </c>
      <c r="I30">
        <f ca="1">IFERROR(__xludf.DUMMYFUNCTION("""COMPUTED_VALUE"""),2976)</f>
        <v>2976</v>
      </c>
      <c r="J30" t="str">
        <f ca="1">IFERROR(__xludf.DUMMYFUNCTION("""COMPUTED_VALUE"""),"3712 (45640-083-45000) ВЕРХОВЦЕВО - НИЖНЕДН-УЗЕЛ")</f>
        <v>3712 (45640-083-45000) ВЕРХОВЦЕВО - НИЖНЕДН-УЗЕЛ</v>
      </c>
      <c r="K30">
        <f ca="1">IFERROR(__xludf.DUMMYFUNCTION("""COMPUTED_VALUE"""),45020)</f>
        <v>45020</v>
      </c>
      <c r="L30" t="str">
        <f ca="1">IFERROR(__xludf.DUMMYFUNCTION("""COMPUTED_VALUE"""),"ВСТРЕЧНЫЙ")</f>
        <v>ВСТРЕЧНЫЙ</v>
      </c>
      <c r="M30" t="str">
        <f ca="1">IFERROR(__xludf.DUMMYFUNCTION("""COMPUTED_VALUE"""),"12.08.21 08-23")</f>
        <v>12.08.21 08-23</v>
      </c>
      <c r="N30" t="str">
        <f ca="1">IFERROR(__xludf.DUMMYFUNCTION("""COMPUTED_VALUE"""),"01 ПРИБ")</f>
        <v>01 ПРИБ</v>
      </c>
      <c r="O30">
        <f ca="1">IFERROR(__xludf.DUMMYFUNCTION("""COMPUTED_VALUE"""),49200)</f>
        <v>49200</v>
      </c>
      <c r="P30" t="str">
        <f ca="1">IFERROR(__xludf.DUMMYFUNCTION("""COMPUTED_VALUE"""),"СЛАВЯНСК")</f>
        <v>СЛАВЯНСК</v>
      </c>
      <c r="Q30">
        <f ca="1">IFERROR(__xludf.DUMMYFUNCTION("""COMPUTED_VALUE"""),45590)</f>
        <v>45590</v>
      </c>
      <c r="R30" t="str">
        <f ca="1">IFERROR(__xludf.DUMMYFUNCTION("""COMPUTED_VALUE"""),"ТРИТУЗНАЯ")</f>
        <v>ТРИТУЗНАЯ</v>
      </c>
      <c r="S30" t="str">
        <f ca="1">IFERROR(__xludf.DUMMYFUNCTION("""COMPUTED_VALUE"""),"10.08.21 13-58")</f>
        <v>10.08.21 13-58</v>
      </c>
      <c r="T30">
        <f ca="1">IFERROR(__xludf.DUMMYFUNCTION("""COMPUTED_VALUE"""),5620)</f>
        <v>5620</v>
      </c>
      <c r="U30" t="str">
        <f ca="1">IFERROR(__xludf.DUMMYFUNCTION("""COMPUTED_VALUE"""),"17.06.2022 ДР")</f>
        <v>17.06.2022 ДР</v>
      </c>
      <c r="Z30" t="str">
        <f ca="1">IFERROR(__xludf.DUMMYFUNCTION("""COMPUTED_VALUE"""),"ЧАО «ТРАНСФОРВАРДИНГ ЛИМИТЕД АГ»")</f>
        <v>ЧАО «ТРАНСФОРВАРДИНГ ЛИМИТЕД АГ»</v>
      </c>
      <c r="AA30" t="str">
        <f ca="1">IFERROR(__xludf.DUMMYFUNCTION("""COMPUTED_VALUE"""),"11-217")</f>
        <v>11-217</v>
      </c>
      <c r="AB30" t="str">
        <f ca="1">IFERROR(__xludf.DUMMYFUNCTION("""COMPUTED_VALUE"""),"43 ЮЖН")</f>
        <v>43 ЮЖН</v>
      </c>
      <c r="AC30" t="str">
        <f ca="1">IFERROR(__xludf.DUMMYFUNCTION("""COMPUTED_VALUE"""),"44020 ОСНОВА")</f>
        <v>44020 ОСНОВА</v>
      </c>
      <c r="AD30" t="str">
        <f ca="1">IFERROR(__xludf.DUMMYFUNCTION("""COMPUTED_VALUE"""),"01.08.21 12-20")</f>
        <v>01.08.21 12-20</v>
      </c>
      <c r="AE30" t="str">
        <f ca="1">IFERROR(__xludf.DUMMYFUNCTION("""COMPUTED_VALUE"""),"453")</f>
        <v>453</v>
      </c>
      <c r="AF30" t="str">
        <f ca="1">IFERROR(__xludf.DUMMYFUNCTION("""COMPUTED_VALUE"""),"43 ЮЖН")</f>
        <v>43 ЮЖН</v>
      </c>
      <c r="AG30" t="str">
        <f ca="1">IFERROR(__xludf.DUMMYFUNCTION("""COMPUTED_VALUE"""),"44020 ОСНОВА")</f>
        <v>44020 ОСНОВА</v>
      </c>
      <c r="AH30" t="str">
        <f ca="1">IFERROR(__xludf.DUMMYFUNCTION("""COMPUTED_VALUE"""),"02.08.21 17-10")</f>
        <v>02.08.21 17-10</v>
      </c>
      <c r="AI30" s="21">
        <f ca="1">IFERROR(__xludf.DUMMYFUNCTION("""COMPUTED_VALUE"""),44420.3576504629)</f>
        <v>44420.357650462902</v>
      </c>
    </row>
    <row r="31" spans="1:35" ht="15.75" customHeight="1" x14ac:dyDescent="0.15">
      <c r="A31">
        <f ca="1">IFERROR(__xludf.DUMMYFUNCTION("""COMPUTED_VALUE"""),110)</f>
        <v>110</v>
      </c>
      <c r="B31" t="str">
        <f ca="1">IFERROR(__xludf.DUMMYFUNCTION("""COMPUTED_VALUE"""),"Кнауф")</f>
        <v>Кнауф</v>
      </c>
      <c r="C31" t="str">
        <f ca="1">IFERROR(__xludf.DUMMYFUNCTION("""COMPUTED_VALUE"""),"Трансфорвардинг")</f>
        <v>Трансфорвардинг</v>
      </c>
      <c r="D31">
        <f ca="1">IFERROR(__xludf.DUMMYFUNCTION("""COMPUTED_VALUE"""),52456761)</f>
        <v>52456761</v>
      </c>
      <c r="E31" t="str">
        <f ca="1">IFERROR(__xludf.DUMMYFUNCTION("""COMPUTED_VALUE"""),"20 КРЫТЫЕ")</f>
        <v>20 КРЫТЫЕ</v>
      </c>
      <c r="F31">
        <f ca="1">IFERROR(__xludf.DUMMYFUNCTION("""COMPUTED_VALUE"""),23304)</f>
        <v>23304</v>
      </c>
      <c r="G31" t="str">
        <f ca="1">IFERROR(__xludf.DUMMYFUNCTION("""COMPUTED_VALUE"""),"ГИПС ПР")</f>
        <v>ГИПС ПР</v>
      </c>
      <c r="H31">
        <f ca="1">IFERROR(__xludf.DUMMYFUNCTION("""COMPUTED_VALUE"""),66)</f>
        <v>66</v>
      </c>
      <c r="I31">
        <f ca="1">IFERROR(__xludf.DUMMYFUNCTION("""COMPUTED_VALUE"""),4813)</f>
        <v>4813</v>
      </c>
      <c r="J31" t="str">
        <f ca="1">IFERROR(__xludf.DUMMYFUNCTION("""COMPUTED_VALUE"""),"2209 (32000-526-37040) ДАРНИЦА - КЛЕПАРОВ")</f>
        <v>2209 (32000-526-37040) ДАРНИЦА - КЛЕПАРОВ</v>
      </c>
      <c r="K31">
        <f ca="1">IFERROR(__xludf.DUMMYFUNCTION("""COMPUTED_VALUE"""),37040)</f>
        <v>37040</v>
      </c>
      <c r="L31" t="str">
        <f ca="1">IFERROR(__xludf.DUMMYFUNCTION("""COMPUTED_VALUE"""),"КЛЕПАРОВ")</f>
        <v>КЛЕПАРОВ</v>
      </c>
      <c r="M31" t="str">
        <f ca="1">IFERROR(__xludf.DUMMYFUNCTION("""COMPUTED_VALUE"""),"12.08.21 06-30")</f>
        <v>12.08.21 06-30</v>
      </c>
      <c r="N31" t="str">
        <f ca="1">IFERROR(__xludf.DUMMYFUNCTION("""COMPUTED_VALUE"""),"01 ПРИБ")</f>
        <v>01 ПРИБ</v>
      </c>
      <c r="O31">
        <f ca="1">IFERROR(__xludf.DUMMYFUNCTION("""COMPUTED_VALUE"""),38440)</f>
        <v>38440</v>
      </c>
      <c r="P31" t="str">
        <f ca="1">IFERROR(__xludf.DUMMYFUNCTION("""COMPUTED_VALUE"""),"ВИНОГР-ЗАКАР")</f>
        <v>ВИНОГР-ЗАКАР</v>
      </c>
      <c r="Q31">
        <f ca="1">IFERROR(__xludf.DUMMYFUNCTION("""COMPUTED_VALUE"""),49620)</f>
        <v>49620</v>
      </c>
      <c r="R31" t="str">
        <f ca="1">IFERROR(__xludf.DUMMYFUNCTION("""COMPUTED_VALUE"""),"ДЕКОНСКАЯ")</f>
        <v>ДЕКОНСКАЯ</v>
      </c>
      <c r="S31" t="str">
        <f ca="1">IFERROR(__xludf.DUMMYFUNCTION("""COMPUTED_VALUE"""),"04.08.21 15-20")</f>
        <v>04.08.21 15-20</v>
      </c>
      <c r="T31">
        <f ca="1">IFERROR(__xludf.DUMMYFUNCTION("""COMPUTED_VALUE"""),4149)</f>
        <v>4149</v>
      </c>
      <c r="U31" t="str">
        <f ca="1">IFERROR(__xludf.DUMMYFUNCTION("""COMPUTED_VALUE"""),"27.02.2023 ДР")</f>
        <v>27.02.2023 ДР</v>
      </c>
      <c r="Z31" t="str">
        <f ca="1">IFERROR(__xludf.DUMMYFUNCTION("""COMPUTED_VALUE"""),"ЧАО «ТРАНСФОРВАРДИНГ ЛИМИТЕД АГ»")</f>
        <v>ЧАО «ТРАНСФОРВАРДИНГ ЛИМИТЕД АГ»</v>
      </c>
      <c r="AA31" t="str">
        <f ca="1">IFERROR(__xludf.DUMMYFUNCTION("""COMPUTED_VALUE"""),"11-217")</f>
        <v>11-217</v>
      </c>
      <c r="AB31" t="str">
        <f ca="1">IFERROR(__xludf.DUMMYFUNCTION("""COMPUTED_VALUE"""),"45 ПРИДН")</f>
        <v>45 ПРИДН</v>
      </c>
      <c r="AC31" t="str">
        <f ca="1">IFERROR(__xludf.DUMMYFUNCTION("""COMPUTED_VALUE"""),"45000 НИЖНЕДН-УЗЕЛ")</f>
        <v>45000 НИЖНЕДН-УЗЕЛ</v>
      </c>
      <c r="AD31" t="str">
        <f ca="1">IFERROR(__xludf.DUMMYFUNCTION("""COMPUTED_VALUE"""),"13.06.20 04-01")</f>
        <v>13.06.20 04-01</v>
      </c>
      <c r="AE31" t="str">
        <f ca="1">IFERROR(__xludf.DUMMYFUNCTION("""COMPUTED_VALUE"""),"537 НEИCПPAВНOCТЬ ЗAПOPA ДВEPИ")</f>
        <v>537 НEИCПPAВНOCТЬ ЗAПOPA ДВEPИ</v>
      </c>
      <c r="AF31" t="str">
        <f ca="1">IFERROR(__xludf.DUMMYFUNCTION("""COMPUTED_VALUE"""),"45 ПРИДН")</f>
        <v>45 ПРИДН</v>
      </c>
      <c r="AG31" t="str">
        <f ca="1">IFERROR(__xludf.DUMMYFUNCTION("""COMPUTED_VALUE"""),"45000 НИЖНЕДН-УЗЕЛ")</f>
        <v>45000 НИЖНЕДН-УЗЕЛ</v>
      </c>
      <c r="AH31" t="str">
        <f ca="1">IFERROR(__xludf.DUMMYFUNCTION("""COMPUTED_VALUE"""),"09.07.20 16-30")</f>
        <v>09.07.20 16-30</v>
      </c>
      <c r="AI31" s="21">
        <f ca="1">IFERROR(__xludf.DUMMYFUNCTION("""COMPUTED_VALUE"""),44420.3576504629)</f>
        <v>44420.357650462902</v>
      </c>
    </row>
    <row r="32" spans="1:35" ht="15.75" customHeight="1" x14ac:dyDescent="0.15">
      <c r="A32">
        <f ca="1">IFERROR(__xludf.DUMMYFUNCTION("""COMPUTED_VALUE"""),111)</f>
        <v>111</v>
      </c>
      <c r="B32" t="str">
        <f ca="1">IFERROR(__xludf.DUMMYFUNCTION("""COMPUTED_VALUE"""),"Кнауф")</f>
        <v>Кнауф</v>
      </c>
      <c r="C32" t="str">
        <f ca="1">IFERROR(__xludf.DUMMYFUNCTION("""COMPUTED_VALUE"""),"Трансфорвардинг")</f>
        <v>Трансфорвардинг</v>
      </c>
      <c r="D32">
        <f ca="1">IFERROR(__xludf.DUMMYFUNCTION("""COMPUTED_VALUE"""),52456779)</f>
        <v>52456779</v>
      </c>
      <c r="E32" t="str">
        <f ca="1">IFERROR(__xludf.DUMMYFUNCTION("""COMPUTED_VALUE"""),"20 КРЫТЫЕ")</f>
        <v>20 КРЫТЫЕ</v>
      </c>
      <c r="F32">
        <f ca="1">IFERROR(__xludf.DUMMYFUNCTION("""COMPUTED_VALUE"""),42103)</f>
        <v>42103</v>
      </c>
      <c r="G32" t="str">
        <f ca="1">IFERROR(__xludf.DUMMYFUNCTION("""COMPUTED_VALUE"""),"ВАГОНЫ ЖД СВ")</f>
        <v>ВАГОНЫ ЖД СВ</v>
      </c>
      <c r="H32">
        <f ca="1">IFERROR(__xludf.DUMMYFUNCTION("""COMPUTED_VALUE"""),0)</f>
        <v>0</v>
      </c>
      <c r="I32">
        <f ca="1">IFERROR(__xludf.DUMMYFUNCTION("""COMPUTED_VALUE"""),4149)</f>
        <v>4149</v>
      </c>
      <c r="J32" t="str">
        <f ca="1">IFERROR(__xludf.DUMMYFUNCTION("""COMPUTED_VALUE"""),"3488 (42830-099-44870) ГРЕБЕНКА - ПОЛТАВА-ЮЖН")</f>
        <v>3488 (42830-099-44870) ГРЕБЕНКА - ПОЛТАВА-ЮЖН</v>
      </c>
      <c r="K32">
        <f ca="1">IFERROR(__xludf.DUMMYFUNCTION("""COMPUTED_VALUE"""),44850)</f>
        <v>44850</v>
      </c>
      <c r="L32" t="str">
        <f ca="1">IFERROR(__xludf.DUMMYFUNCTION("""COMPUTED_VALUE"""),"ПОЛТАВА-КИЕВ")</f>
        <v>ПОЛТАВА-КИЕВ</v>
      </c>
      <c r="M32" t="str">
        <f ca="1">IFERROR(__xludf.DUMMYFUNCTION("""COMPUTED_VALUE"""),"12.08.21 05-43")</f>
        <v>12.08.21 05-43</v>
      </c>
      <c r="N32" t="str">
        <f ca="1">IFERROR(__xludf.DUMMYFUNCTION("""COMPUTED_VALUE"""),"01 ПРИБ")</f>
        <v>01 ПРИБ</v>
      </c>
      <c r="O32">
        <f ca="1">IFERROR(__xludf.DUMMYFUNCTION("""COMPUTED_VALUE"""),49620)</f>
        <v>49620</v>
      </c>
      <c r="P32" t="str">
        <f ca="1">IFERROR(__xludf.DUMMYFUNCTION("""COMPUTED_VALUE"""),"ДЕКОНСКАЯ")</f>
        <v>ДЕКОНСКАЯ</v>
      </c>
      <c r="Q32">
        <f ca="1">IFERROR(__xludf.DUMMYFUNCTION("""COMPUTED_VALUE"""),32040)</f>
        <v>32040</v>
      </c>
      <c r="R32" t="str">
        <f ca="1">IFERROR(__xludf.DUMMYFUNCTION("""COMPUTED_VALUE"""),"ГРУШКИ")</f>
        <v>ГРУШКИ</v>
      </c>
      <c r="S32" t="str">
        <f ca="1">IFERROR(__xludf.DUMMYFUNCTION("""COMPUTED_VALUE"""),"03.08.21 16-25")</f>
        <v>03.08.21 16-25</v>
      </c>
      <c r="T32">
        <f ca="1">IFERROR(__xludf.DUMMYFUNCTION("""COMPUTED_VALUE"""),3314)</f>
        <v>3314</v>
      </c>
      <c r="U32" t="str">
        <f ca="1">IFERROR(__xludf.DUMMYFUNCTION("""COMPUTED_VALUE"""),"07.12.2022 ДР")</f>
        <v>07.12.2022 ДР</v>
      </c>
      <c r="Z32" t="str">
        <f ca="1">IFERROR(__xludf.DUMMYFUNCTION("""COMPUTED_VALUE"""),"ЧАО «ТРАНСФОРВАРДИНГ ЛИМИТЕД АГ»")</f>
        <v>ЧАО «ТРАНСФОРВАРДИНГ ЛИМИТЕД АГ»</v>
      </c>
      <c r="AA32" t="str">
        <f ca="1">IFERROR(__xludf.DUMMYFUNCTION("""COMPUTED_VALUE"""),"11-217")</f>
        <v>11-217</v>
      </c>
      <c r="AB32" t="str">
        <f ca="1">IFERROR(__xludf.DUMMYFUNCTION("""COMPUTED_VALUE"""),"43 ЮЖН")</f>
        <v>43 ЮЖН</v>
      </c>
      <c r="AC32" t="str">
        <f ca="1">IFERROR(__xludf.DUMMYFUNCTION("""COMPUTED_VALUE"""),"43000 КУПЯНСК-СОРТ")</f>
        <v>43000 КУПЯНСК-СОРТ</v>
      </c>
      <c r="AD32" t="str">
        <f ca="1">IFERROR(__xludf.DUMMYFUNCTION("""COMPUTED_VALUE"""),"28.11.19 05-43")</f>
        <v>28.11.19 05-43</v>
      </c>
      <c r="AE32" t="str">
        <f ca="1">IFERROR(__xludf.DUMMYFUNCTION("""COMPUTED_VALUE"""),"571 ИCТEК КAЛЕНДАРНЫЙ CPOК КAПИТAЛЬНОГО PEМOНТA")</f>
        <v>571 ИCТEК КAЛЕНДАРНЫЙ CPOК КAПИТAЛЬНОГО PEМOНТA</v>
      </c>
      <c r="AF32" t="str">
        <f ca="1">IFERROR(__xludf.DUMMYFUNCTION("""COMPUTED_VALUE"""),"43 ЮЖН")</f>
        <v>43 ЮЖН</v>
      </c>
      <c r="AG32" t="str">
        <f ca="1">IFERROR(__xludf.DUMMYFUNCTION("""COMPUTED_VALUE"""),"43000 КУПЯНСК-СОРТ")</f>
        <v>43000 КУПЯНСК-СОРТ</v>
      </c>
      <c r="AH32" t="str">
        <f ca="1">IFERROR(__xludf.DUMMYFUNCTION("""COMPUTED_VALUE"""),"07.12.19 10-30")</f>
        <v>07.12.19 10-30</v>
      </c>
      <c r="AI32" s="21">
        <f ca="1">IFERROR(__xludf.DUMMYFUNCTION("""COMPUTED_VALUE"""),44420.3576504629)</f>
        <v>44420.357650462902</v>
      </c>
    </row>
    <row r="33" spans="1:35" ht="15.75" customHeight="1" x14ac:dyDescent="0.15">
      <c r="A33">
        <f ca="1">IFERROR(__xludf.DUMMYFUNCTION("""COMPUTED_VALUE"""),112)</f>
        <v>112</v>
      </c>
      <c r="B33" t="str">
        <f ca="1">IFERROR(__xludf.DUMMYFUNCTION("""COMPUTED_VALUE"""),"Кнауф")</f>
        <v>Кнауф</v>
      </c>
      <c r="C33" t="str">
        <f ca="1">IFERROR(__xludf.DUMMYFUNCTION("""COMPUTED_VALUE"""),"ФМС груп")</f>
        <v>ФМС груп</v>
      </c>
      <c r="D33">
        <f ca="1">IFERROR(__xludf.DUMMYFUNCTION("""COMPUTED_VALUE"""),52456977)</f>
        <v>52456977</v>
      </c>
      <c r="E33" t="str">
        <f ca="1">IFERROR(__xludf.DUMMYFUNCTION("""COMPUTED_VALUE"""),"20 КРЫТЫЕ")</f>
        <v>20 КРЫТЫЕ</v>
      </c>
      <c r="F33">
        <f ca="1">IFERROR(__xludf.DUMMYFUNCTION("""COMPUTED_VALUE"""),42103)</f>
        <v>42103</v>
      </c>
      <c r="G33" t="str">
        <f ca="1">IFERROR(__xludf.DUMMYFUNCTION("""COMPUTED_VALUE"""),"ВАГОНЫ ЖД СВ")</f>
        <v>ВАГОНЫ ЖД СВ</v>
      </c>
      <c r="H33">
        <f ca="1">IFERROR(__xludf.DUMMYFUNCTION("""COMPUTED_VALUE"""),0)</f>
        <v>0</v>
      </c>
      <c r="I33">
        <f ca="1">IFERROR(__xludf.DUMMYFUNCTION("""COMPUTED_VALUE"""),8199)</f>
        <v>8199</v>
      </c>
      <c r="J33" t="str">
        <f ca="1">IFERROR(__xludf.DUMMYFUNCTION("""COMPUTED_VALUE"""),"5555 (32000-600-00080) ДАРНИЦА -")</f>
        <v>5555 (32000-600-00080) ДАРНИЦА -</v>
      </c>
      <c r="K33">
        <f ca="1">IFERROR(__xludf.DUMMYFUNCTION("""COMPUTED_VALUE"""),32000)</f>
        <v>32000</v>
      </c>
      <c r="L33" t="str">
        <f ca="1">IFERROR(__xludf.DUMMYFUNCTION("""COMPUTED_VALUE"""),"ДАРНИЦА")</f>
        <v>ДАРНИЦА</v>
      </c>
      <c r="M33" t="str">
        <f ca="1">IFERROR(__xludf.DUMMYFUNCTION("""COMPUTED_VALUE"""),"12.08.21 03-37")</f>
        <v>12.08.21 03-37</v>
      </c>
      <c r="N33" t="str">
        <f ca="1">IFERROR(__xludf.DUMMYFUNCTION("""COMPUTED_VALUE"""),"05 ФОРМ")</f>
        <v>05 ФОРМ</v>
      </c>
      <c r="O33">
        <f ca="1">IFERROR(__xludf.DUMMYFUNCTION("""COMPUTED_VALUE"""),38830)</f>
        <v>38830</v>
      </c>
      <c r="P33" t="str">
        <f ca="1">IFERROR(__xludf.DUMMYFUNCTION("""COMPUTED_VALUE"""),"ЯМНИЦА")</f>
        <v>ЯМНИЦА</v>
      </c>
      <c r="Q33">
        <f ca="1">IFERROR(__xludf.DUMMYFUNCTION("""COMPUTED_VALUE"""),32040)</f>
        <v>32040</v>
      </c>
      <c r="R33" t="str">
        <f ca="1">IFERROR(__xludf.DUMMYFUNCTION("""COMPUTED_VALUE"""),"ГРУШКИ")</f>
        <v>ГРУШКИ</v>
      </c>
      <c r="S33" t="str">
        <f ca="1">IFERROR(__xludf.DUMMYFUNCTION("""COMPUTED_VALUE"""),"07.08.21 09-15")</f>
        <v>07.08.21 09-15</v>
      </c>
      <c r="T33">
        <f ca="1">IFERROR(__xludf.DUMMYFUNCTION("""COMPUTED_VALUE"""),8200)</f>
        <v>8200</v>
      </c>
      <c r="U33" t="str">
        <f ca="1">IFERROR(__xludf.DUMMYFUNCTION("""COMPUTED_VALUE"""),"10.05.2024 ТР-1")</f>
        <v>10.05.2024 ТР-1</v>
      </c>
      <c r="Z33" t="str">
        <f ca="1">IFERROR(__xludf.DUMMYFUNCTION("""COMPUTED_VALUE"""),"ООО ""Ф.М.С. групп""")</f>
        <v>ООО "Ф.М.С. групп"</v>
      </c>
      <c r="AA33" t="str">
        <f ca="1">IFERROR(__xludf.DUMMYFUNCTION("""COMPUTED_VALUE"""),"11-217")</f>
        <v>11-217</v>
      </c>
      <c r="AB33" t="str">
        <f ca="1">IFERROR(__xludf.DUMMYFUNCTION("""COMPUTED_VALUE"""),"43 ЮЖН")</f>
        <v>43 ЮЖН</v>
      </c>
      <c r="AC33" t="str">
        <f ca="1">IFERROR(__xludf.DUMMYFUNCTION("""COMPUTED_VALUE"""),"43000 КУПЯНСК-СОРТ")</f>
        <v>43000 КУПЯНСК-СОРТ</v>
      </c>
      <c r="AD33" t="str">
        <f ca="1">IFERROR(__xludf.DUMMYFUNCTION("""COMPUTED_VALUE"""),"26.05.21 21-26")</f>
        <v>26.05.21 21-26</v>
      </c>
      <c r="AE33" t="str">
        <f ca="1">IFERROR(__xludf.DUMMYFUNCTION("""COMPUTED_VALUE"""),"570 ИCТEК КAЛЕНДАРНЫЙ CPOК ДEПOВCКОГО PEМOНТA")</f>
        <v>570 ИCТEК КAЛЕНДАРНЫЙ CPOК ДEПOВCКОГО PEМOНТA</v>
      </c>
      <c r="AF33" t="str">
        <f ca="1">IFERROR(__xludf.DUMMYFUNCTION("""COMPUTED_VALUE"""),"43 ЮЖН")</f>
        <v>43 ЮЖН</v>
      </c>
      <c r="AG33" t="str">
        <f ca="1">IFERROR(__xludf.DUMMYFUNCTION("""COMPUTED_VALUE"""),"43000 КУПЯНСК-СОРТ")</f>
        <v>43000 КУПЯНСК-СОРТ</v>
      </c>
      <c r="AH33" t="str">
        <f ca="1">IFERROR(__xludf.DUMMYFUNCTION("""COMPUTED_VALUE"""),"11.06.21 10-30")</f>
        <v>11.06.21 10-30</v>
      </c>
      <c r="AI33" s="21">
        <f ca="1">IFERROR(__xludf.DUMMYFUNCTION("""COMPUTED_VALUE"""),44420.3576504629)</f>
        <v>44420.357650462902</v>
      </c>
    </row>
    <row r="34" spans="1:35" ht="15.75" customHeight="1" x14ac:dyDescent="0.15">
      <c r="A34">
        <f ca="1">IFERROR(__xludf.DUMMYFUNCTION("""COMPUTED_VALUE"""),113)</f>
        <v>113</v>
      </c>
      <c r="B34" t="str">
        <f ca="1">IFERROR(__xludf.DUMMYFUNCTION("""COMPUTED_VALUE"""),"Кнауф")</f>
        <v>Кнауф</v>
      </c>
      <c r="C34" t="str">
        <f ca="1">IFERROR(__xludf.DUMMYFUNCTION("""COMPUTED_VALUE"""),"ФМС груп")</f>
        <v>ФМС груп</v>
      </c>
      <c r="D34">
        <f ca="1">IFERROR(__xludf.DUMMYFUNCTION("""COMPUTED_VALUE"""),52457033)</f>
        <v>52457033</v>
      </c>
      <c r="E34" t="str">
        <f ca="1">IFERROR(__xludf.DUMMYFUNCTION("""COMPUTED_VALUE"""),"20 КРЫТЫЕ")</f>
        <v>20 КРЫТЫЕ</v>
      </c>
      <c r="F34">
        <f ca="1">IFERROR(__xludf.DUMMYFUNCTION("""COMPUTED_VALUE"""),42103)</f>
        <v>42103</v>
      </c>
      <c r="G34" t="str">
        <f ca="1">IFERROR(__xludf.DUMMYFUNCTION("""COMPUTED_VALUE"""),"ВАГОНЫ ЖД СВ")</f>
        <v>ВАГОНЫ ЖД СВ</v>
      </c>
      <c r="H34">
        <f ca="1">IFERROR(__xludf.DUMMYFUNCTION("""COMPUTED_VALUE"""),0)</f>
        <v>0</v>
      </c>
      <c r="I34">
        <f ca="1">IFERROR(__xludf.DUMMYFUNCTION("""COMPUTED_VALUE"""),4149)</f>
        <v>4149</v>
      </c>
      <c r="J34" t="str">
        <f ca="1">IFERROR(__xludf.DUMMYFUNCTION("""COMPUTED_VALUE"""),"3802 (49640-064-49620)  - ДЕКОНСКАЯ")</f>
        <v>3802 (49640-064-49620)  - ДЕКОНСКАЯ</v>
      </c>
      <c r="K34">
        <f ca="1">IFERROR(__xludf.DUMMYFUNCTION("""COMPUTED_VALUE"""),49620)</f>
        <v>49620</v>
      </c>
      <c r="L34" t="str">
        <f ca="1">IFERROR(__xludf.DUMMYFUNCTION("""COMPUTED_VALUE"""),"ДЕКОНСКАЯ")</f>
        <v>ДЕКОНСКАЯ</v>
      </c>
      <c r="M34" t="str">
        <f ca="1">IFERROR(__xludf.DUMMYFUNCTION("""COMPUTED_VALUE"""),"08.08.21 11-00")</f>
        <v>08.08.21 11-00</v>
      </c>
      <c r="N34" t="str">
        <f ca="1">IFERROR(__xludf.DUMMYFUNCTION("""COMPUTED_VALUE"""),"98 ОТОТ")</f>
        <v>98 ОТОТ</v>
      </c>
      <c r="O34">
        <f ca="1">IFERROR(__xludf.DUMMYFUNCTION("""COMPUTED_VALUE"""),49620)</f>
        <v>49620</v>
      </c>
      <c r="P34" t="str">
        <f ca="1">IFERROR(__xludf.DUMMYFUNCTION("""COMPUTED_VALUE"""),"ДЕКОНСКАЯ")</f>
        <v>ДЕКОНСКАЯ</v>
      </c>
      <c r="Q34">
        <f ca="1">IFERROR(__xludf.DUMMYFUNCTION("""COMPUTED_VALUE"""),44050)</f>
        <v>44050</v>
      </c>
      <c r="R34" t="str">
        <f ca="1">IFERROR(__xludf.DUMMYFUNCTION("""COMPUTED_VALUE"""),"ХАРЬКОВ-БАЛ")</f>
        <v>ХАРЬКОВ-БАЛ</v>
      </c>
      <c r="S34" t="str">
        <f ca="1">IFERROR(__xludf.DUMMYFUNCTION("""COMPUTED_VALUE"""),"04.08.21 13-00")</f>
        <v>04.08.21 13-00</v>
      </c>
      <c r="T34">
        <f ca="1">IFERROR(__xludf.DUMMYFUNCTION("""COMPUTED_VALUE"""),1494)</f>
        <v>1494</v>
      </c>
      <c r="U34" t="str">
        <f ca="1">IFERROR(__xludf.DUMMYFUNCTION("""COMPUTED_VALUE"""),"10.04.2023 ДР")</f>
        <v>10.04.2023 ДР</v>
      </c>
      <c r="Z34" t="str">
        <f ca="1">IFERROR(__xludf.DUMMYFUNCTION("""COMPUTED_VALUE"""),"ООО ""Ф.М.С. групп""")</f>
        <v>ООО "Ф.М.С. групп"</v>
      </c>
      <c r="AA34" t="str">
        <f ca="1">IFERROR(__xludf.DUMMYFUNCTION("""COMPUTED_VALUE"""),"11-217")</f>
        <v>11-217</v>
      </c>
      <c r="AB34" t="str">
        <f ca="1">IFERROR(__xludf.DUMMYFUNCTION("""COMPUTED_VALUE"""),"43 ЮЖН")</f>
        <v>43 ЮЖН</v>
      </c>
      <c r="AC34" t="str">
        <f ca="1">IFERROR(__xludf.DUMMYFUNCTION("""COMPUTED_VALUE"""),"43000 КУПЯНСК-СОРТ")</f>
        <v>43000 КУПЯНСК-СОРТ</v>
      </c>
      <c r="AD34" t="str">
        <f ca="1">IFERROR(__xludf.DUMMYFUNCTION("""COMPUTED_VALUE"""),"23.03.21 14-21")</f>
        <v>23.03.21 14-21</v>
      </c>
      <c r="AE34" t="str">
        <f ca="1">IFERROR(__xludf.DUMMYFUNCTION("""COMPUTED_VALUE"""),"570 ИCТEК КAЛЕНДАРНЫЙ CPOК ДEПOВCКОГО PEМOНТA")</f>
        <v>570 ИCТEК КAЛЕНДАРНЫЙ CPOК ДEПOВCКОГО PEМOНТA</v>
      </c>
      <c r="AF34" t="str">
        <f ca="1">IFERROR(__xludf.DUMMYFUNCTION("""COMPUTED_VALUE"""),"43 ЮЖН")</f>
        <v>43 ЮЖН</v>
      </c>
      <c r="AG34" t="str">
        <f ca="1">IFERROR(__xludf.DUMMYFUNCTION("""COMPUTED_VALUE"""),"43000 КУПЯНСК-СОРТ")</f>
        <v>43000 КУПЯНСК-СОРТ</v>
      </c>
      <c r="AH34" t="str">
        <f ca="1">IFERROR(__xludf.DUMMYFUNCTION("""COMPUTED_VALUE"""),"10.04.21 09-30")</f>
        <v>10.04.21 09-30</v>
      </c>
      <c r="AI34" s="21">
        <f ca="1">IFERROR(__xludf.DUMMYFUNCTION("""COMPUTED_VALUE"""),44420.3576504629)</f>
        <v>44420.357650462902</v>
      </c>
    </row>
    <row r="35" spans="1:35" ht="15.75" customHeight="1" x14ac:dyDescent="0.15">
      <c r="A35">
        <f ca="1">IFERROR(__xludf.DUMMYFUNCTION("""COMPUTED_VALUE"""),114)</f>
        <v>114</v>
      </c>
      <c r="B35" t="str">
        <f ca="1">IFERROR(__xludf.DUMMYFUNCTION("""COMPUTED_VALUE"""),"Кнауф")</f>
        <v>Кнауф</v>
      </c>
      <c r="C35" t="str">
        <f ca="1">IFERROR(__xludf.DUMMYFUNCTION("""COMPUTED_VALUE"""),"ФМС груп")</f>
        <v>ФМС груп</v>
      </c>
      <c r="D35">
        <f ca="1">IFERROR(__xludf.DUMMYFUNCTION("""COMPUTED_VALUE"""),52457074)</f>
        <v>52457074</v>
      </c>
      <c r="E35" t="str">
        <f ca="1">IFERROR(__xludf.DUMMYFUNCTION("""COMPUTED_VALUE"""),"20 КРЫТЫЕ")</f>
        <v>20 КРЫТЫЕ</v>
      </c>
      <c r="F35">
        <f ca="1">IFERROR(__xludf.DUMMYFUNCTION("""COMPUTED_VALUE"""),42103)</f>
        <v>42103</v>
      </c>
      <c r="G35" t="str">
        <f ca="1">IFERROR(__xludf.DUMMYFUNCTION("""COMPUTED_VALUE"""),"ВАГОНЫ ЖД СВ")</f>
        <v>ВАГОНЫ ЖД СВ</v>
      </c>
      <c r="H35">
        <f ca="1">IFERROR(__xludf.DUMMYFUNCTION("""COMPUTED_VALUE"""),0)</f>
        <v>0</v>
      </c>
      <c r="I35">
        <f ca="1">IFERROR(__xludf.DUMMYFUNCTION("""COMPUTED_VALUE"""),4149)</f>
        <v>4149</v>
      </c>
      <c r="J35" t="str">
        <f ca="1">IFERROR(__xludf.DUMMYFUNCTION("""COMPUTED_VALUE"""),"3802 (49640-064-49620)  - ДЕКОНСКАЯ")</f>
        <v>3802 (49640-064-49620)  - ДЕКОНСКАЯ</v>
      </c>
      <c r="K35">
        <f ca="1">IFERROR(__xludf.DUMMYFUNCTION("""COMPUTED_VALUE"""),49620)</f>
        <v>49620</v>
      </c>
      <c r="L35" t="str">
        <f ca="1">IFERROR(__xludf.DUMMYFUNCTION("""COMPUTED_VALUE"""),"ДЕКОНСКАЯ")</f>
        <v>ДЕКОНСКАЯ</v>
      </c>
      <c r="M35" t="str">
        <f ca="1">IFERROR(__xludf.DUMMYFUNCTION("""COMPUTED_VALUE"""),"08.08.21 11-00")</f>
        <v>08.08.21 11-00</v>
      </c>
      <c r="N35" t="str">
        <f ca="1">IFERROR(__xludf.DUMMYFUNCTION("""COMPUTED_VALUE"""),"98 ОТОТ")</f>
        <v>98 ОТОТ</v>
      </c>
      <c r="O35">
        <f ca="1">IFERROR(__xludf.DUMMYFUNCTION("""COMPUTED_VALUE"""),49620)</f>
        <v>49620</v>
      </c>
      <c r="P35" t="str">
        <f ca="1">IFERROR(__xludf.DUMMYFUNCTION("""COMPUTED_VALUE"""),"ДЕКОНСКАЯ")</f>
        <v>ДЕКОНСКАЯ</v>
      </c>
      <c r="Q35">
        <f ca="1">IFERROR(__xludf.DUMMYFUNCTION("""COMPUTED_VALUE"""),49480)</f>
        <v>49480</v>
      </c>
      <c r="R35" t="str">
        <f ca="1">IFERROR(__xludf.DUMMYFUNCTION("""COMPUTED_VALUE"""),"СОЛЬ")</f>
        <v>СОЛЬ</v>
      </c>
      <c r="S35" t="str">
        <f ca="1">IFERROR(__xludf.DUMMYFUNCTION("""COMPUTED_VALUE"""),"05.08.21 16-00")</f>
        <v>05.08.21 16-00</v>
      </c>
      <c r="T35">
        <f ca="1">IFERROR(__xludf.DUMMYFUNCTION("""COMPUTED_VALUE"""),4714)</f>
        <v>4714</v>
      </c>
      <c r="U35" t="str">
        <f ca="1">IFERROR(__xludf.DUMMYFUNCTION("""COMPUTED_VALUE"""),"30.06.2024 ДР")</f>
        <v>30.06.2024 ДР</v>
      </c>
      <c r="Z35" t="str">
        <f ca="1">IFERROR(__xludf.DUMMYFUNCTION("""COMPUTED_VALUE"""),"ООО ""Ф.М.С. групп""")</f>
        <v>ООО "Ф.М.С. групп"</v>
      </c>
      <c r="AA35" t="str">
        <f ca="1">IFERROR(__xludf.DUMMYFUNCTION("""COMPUTED_VALUE"""),"11-270")</f>
        <v>11-270</v>
      </c>
      <c r="AB35" t="str">
        <f ca="1">IFERROR(__xludf.DUMMYFUNCTION("""COMPUTED_VALUE"""),"43 ЮЖН")</f>
        <v>43 ЮЖН</v>
      </c>
      <c r="AC35" t="str">
        <f ca="1">IFERROR(__xludf.DUMMYFUNCTION("""COMPUTED_VALUE"""),"43000 КУПЯНСК-СОРТ")</f>
        <v>43000 КУПЯНСК-СОРТ</v>
      </c>
      <c r="AD35" t="str">
        <f ca="1">IFERROR(__xludf.DUMMYFUNCTION("""COMPUTED_VALUE"""),"28.05.21 11-42")</f>
        <v>28.05.21 11-42</v>
      </c>
      <c r="AE35" t="str">
        <f ca="1">IFERROR(__xludf.DUMMYFUNCTION("""COMPUTED_VALUE"""),"570 ИCТEК КAЛЕНДАРНЫЙ CPOК ДEПOВCКОГО PEМOНТA")</f>
        <v>570 ИCТEК КAЛЕНДАРНЫЙ CPOК ДEПOВCКОГО PEМOНТA</v>
      </c>
      <c r="AF35" t="str">
        <f ca="1">IFERROR(__xludf.DUMMYFUNCTION("""COMPUTED_VALUE"""),"43 ЮЖН")</f>
        <v>43 ЮЖН</v>
      </c>
      <c r="AG35" t="str">
        <f ca="1">IFERROR(__xludf.DUMMYFUNCTION("""COMPUTED_VALUE"""),"43000 КУПЯНСК-СОРТ")</f>
        <v>43000 КУПЯНСК-СОРТ</v>
      </c>
      <c r="AH35" t="str">
        <f ca="1">IFERROR(__xludf.DUMMYFUNCTION("""COMPUTED_VALUE"""),"30.06.21 14-30")</f>
        <v>30.06.21 14-30</v>
      </c>
      <c r="AI35" s="21">
        <f ca="1">IFERROR(__xludf.DUMMYFUNCTION("""COMPUTED_VALUE"""),44420.3576504629)</f>
        <v>44420.357650462902</v>
      </c>
    </row>
    <row r="36" spans="1:35" ht="15.75" customHeight="1" x14ac:dyDescent="0.15">
      <c r="A36">
        <f ca="1">IFERROR(__xludf.DUMMYFUNCTION("""COMPUTED_VALUE"""),115)</f>
        <v>115</v>
      </c>
      <c r="B36" t="str">
        <f ca="1">IFERROR(__xludf.DUMMYFUNCTION("""COMPUTED_VALUE"""),"Кнауф")</f>
        <v>Кнауф</v>
      </c>
      <c r="C36" t="str">
        <f ca="1">IFERROR(__xludf.DUMMYFUNCTION("""COMPUTED_VALUE"""),"Трансфорвардинг")</f>
        <v>Трансфорвардинг</v>
      </c>
      <c r="D36">
        <f ca="1">IFERROR(__xludf.DUMMYFUNCTION("""COMPUTED_VALUE"""),52456621)</f>
        <v>52456621</v>
      </c>
      <c r="E36" t="str">
        <f ca="1">IFERROR(__xludf.DUMMYFUNCTION("""COMPUTED_VALUE"""),"20 КРЫТЫЕ")</f>
        <v>20 КРЫТЫЕ</v>
      </c>
      <c r="F36">
        <f ca="1">IFERROR(__xludf.DUMMYFUNCTION("""COMPUTED_VALUE"""),42103)</f>
        <v>42103</v>
      </c>
      <c r="G36" t="str">
        <f ca="1">IFERROR(__xludf.DUMMYFUNCTION("""COMPUTED_VALUE"""),"ВАГОНЫ ЖД СВ")</f>
        <v>ВАГОНЫ ЖД СВ</v>
      </c>
      <c r="H36">
        <f ca="1">IFERROR(__xludf.DUMMYFUNCTION("""COMPUTED_VALUE"""),0)</f>
        <v>0</v>
      </c>
      <c r="I36">
        <f ca="1">IFERROR(__xludf.DUMMYFUNCTION("""COMPUTED_VALUE"""),4149)</f>
        <v>4149</v>
      </c>
      <c r="J36" t="str">
        <f ca="1">IFERROR(__xludf.DUMMYFUNCTION("""COMPUTED_VALUE"""),"3802 (49640-064-49620)  - ДЕКОНСКАЯ")</f>
        <v>3802 (49640-064-49620)  - ДЕКОНСКАЯ</v>
      </c>
      <c r="K36">
        <f ca="1">IFERROR(__xludf.DUMMYFUNCTION("""COMPUTED_VALUE"""),49620)</f>
        <v>49620</v>
      </c>
      <c r="L36" t="str">
        <f ca="1">IFERROR(__xludf.DUMMYFUNCTION("""COMPUTED_VALUE"""),"ДЕКОНСКАЯ")</f>
        <v>ДЕКОНСКАЯ</v>
      </c>
      <c r="M36" t="str">
        <f ca="1">IFERROR(__xludf.DUMMYFUNCTION("""COMPUTED_VALUE"""),"08.08.21 11-00")</f>
        <v>08.08.21 11-00</v>
      </c>
      <c r="N36" t="str">
        <f ca="1">IFERROR(__xludf.DUMMYFUNCTION("""COMPUTED_VALUE"""),"98 ОТОТ")</f>
        <v>98 ОТОТ</v>
      </c>
      <c r="O36">
        <f ca="1">IFERROR(__xludf.DUMMYFUNCTION("""COMPUTED_VALUE"""),49620)</f>
        <v>49620</v>
      </c>
      <c r="P36" t="str">
        <f ca="1">IFERROR(__xludf.DUMMYFUNCTION("""COMPUTED_VALUE"""),"ДЕКОНСКАЯ")</f>
        <v>ДЕКОНСКАЯ</v>
      </c>
      <c r="Q36">
        <f ca="1">IFERROR(__xludf.DUMMYFUNCTION("""COMPUTED_VALUE"""),44090)</f>
        <v>44090</v>
      </c>
      <c r="R36" t="str">
        <f ca="1">IFERROR(__xludf.DUMMYFUNCTION("""COMPUTED_VALUE"""),"ЗАЛЮТИНО")</f>
        <v>ЗАЛЮТИНО</v>
      </c>
      <c r="S36" t="str">
        <f ca="1">IFERROR(__xludf.DUMMYFUNCTION("""COMPUTED_VALUE"""),"02.08.21 16-50")</f>
        <v>02.08.21 16-50</v>
      </c>
      <c r="T36">
        <f ca="1">IFERROR(__xludf.DUMMYFUNCTION("""COMPUTED_VALUE"""),8200)</f>
        <v>8200</v>
      </c>
      <c r="U36" t="str">
        <f ca="1">IFERROR(__xludf.DUMMYFUNCTION("""COMPUTED_VALUE"""),"07.02.2023 ДР")</f>
        <v>07.02.2023 ДР</v>
      </c>
      <c r="Z36" t="str">
        <f ca="1">IFERROR(__xludf.DUMMYFUNCTION("""COMPUTED_VALUE"""),"ЧАО «ТРАНСФОРВАРДИНГ ЛИМИТЕД АГ»")</f>
        <v>ЧАО «ТРАНСФОРВАРДИНГ ЛИМИТЕД АГ»</v>
      </c>
      <c r="AA36" t="str">
        <f ca="1">IFERROR(__xludf.DUMMYFUNCTION("""COMPUTED_VALUE"""),"11-217")</f>
        <v>11-217</v>
      </c>
      <c r="AB36" t="str">
        <f ca="1">IFERROR(__xludf.DUMMYFUNCTION("""COMPUTED_VALUE"""),"43 ЮЖН")</f>
        <v>43 ЮЖН</v>
      </c>
      <c r="AC36" t="str">
        <f ca="1">IFERROR(__xludf.DUMMYFUNCTION("""COMPUTED_VALUE"""),"44020 ОСНОВА")</f>
        <v>44020 ОСНОВА</v>
      </c>
      <c r="AD36" t="str">
        <f ca="1">IFERROR(__xludf.DUMMYFUNCTION("""COMPUTED_VALUE"""),"08.12.20 04-56")</f>
        <v>08.12.20 04-56</v>
      </c>
      <c r="AE36" t="str">
        <f ca="1">IFERROR(__xludf.DUMMYFUNCTION("""COMPUTED_VALUE"""),"537 НEИCПPAВНOCТЬ ЗAПOPA ДВEPИ")</f>
        <v>537 НEИCПPAВНOCТЬ ЗAПOPA ДВEPИ</v>
      </c>
      <c r="AF36" t="str">
        <f ca="1">IFERROR(__xludf.DUMMYFUNCTION("""COMPUTED_VALUE"""),"43 ЮЖН")</f>
        <v>43 ЮЖН</v>
      </c>
      <c r="AG36" t="str">
        <f ca="1">IFERROR(__xludf.DUMMYFUNCTION("""COMPUTED_VALUE"""),"44020 ОСНОВА")</f>
        <v>44020 ОСНОВА</v>
      </c>
      <c r="AH36" t="str">
        <f ca="1">IFERROR(__xludf.DUMMYFUNCTION("""COMPUTED_VALUE"""),"09.12.20 16-40")</f>
        <v>09.12.20 16-40</v>
      </c>
      <c r="AI36" s="21">
        <f ca="1">IFERROR(__xludf.DUMMYFUNCTION("""COMPUTED_VALUE"""),44420.3576504629)</f>
        <v>44420.357650462902</v>
      </c>
    </row>
    <row r="37" spans="1:35" ht="15.75" customHeight="1" x14ac:dyDescent="0.15">
      <c r="A37">
        <f ca="1">IFERROR(__xludf.DUMMYFUNCTION("""COMPUTED_VALUE"""),116)</f>
        <v>116</v>
      </c>
      <c r="B37" t="str">
        <f ca="1">IFERROR(__xludf.DUMMYFUNCTION("""COMPUTED_VALUE"""),"Руссоль")</f>
        <v>Руссоль</v>
      </c>
      <c r="C37" t="str">
        <f ca="1">IFERROR(__xludf.DUMMYFUNCTION("""COMPUTED_VALUE"""),"Трансфорвардинг")</f>
        <v>Трансфорвардинг</v>
      </c>
      <c r="D37">
        <f ca="1">IFERROR(__xludf.DUMMYFUNCTION("""COMPUTED_VALUE"""),52456720)</f>
        <v>52456720</v>
      </c>
      <c r="E37" t="str">
        <f ca="1">IFERROR(__xludf.DUMMYFUNCTION("""COMPUTED_VALUE"""),"20 КРЫТЫЕ")</f>
        <v>20 КРЫТЫЕ</v>
      </c>
      <c r="F37">
        <f ca="1">IFERROR(__xludf.DUMMYFUNCTION("""COMPUTED_VALUE"""),28114)</f>
        <v>28114</v>
      </c>
      <c r="G37" t="str">
        <f ca="1">IFERROR(__xludf.DUMMYFUNCTION("""COMPUTED_VALUE"""),"ЦЕМЕНТ ПР")</f>
        <v>ЦЕМЕНТ ПР</v>
      </c>
      <c r="H37">
        <f ca="1">IFERROR(__xludf.DUMMYFUNCTION("""COMPUTED_VALUE"""),68)</f>
        <v>68</v>
      </c>
      <c r="I37">
        <f ca="1">IFERROR(__xludf.DUMMYFUNCTION("""COMPUTED_VALUE"""),2976)</f>
        <v>2976</v>
      </c>
      <c r="J37" t="str">
        <f ca="1">IFERROR(__xludf.DUMMYFUNCTION("""COMPUTED_VALUE"""),"3187 (45000-412-49000) НИЖНЕДН-УЗЕЛ - ЛИМАН")</f>
        <v>3187 (45000-412-49000) НИЖНЕДН-УЗЕЛ - ЛИМАН</v>
      </c>
      <c r="K37">
        <f ca="1">IFERROR(__xludf.DUMMYFUNCTION("""COMPUTED_VALUE"""),49360)</f>
        <v>49360</v>
      </c>
      <c r="L37" t="str">
        <f ca="1">IFERROR(__xludf.DUMMYFUNCTION("""COMPUTED_VALUE"""),"ДУБОВО")</f>
        <v>ДУБОВО</v>
      </c>
      <c r="M37" t="str">
        <f ca="1">IFERROR(__xludf.DUMMYFUNCTION("""COMPUTED_VALUE"""),"12.08.21 08-14")</f>
        <v>12.08.21 08-14</v>
      </c>
      <c r="N37" t="str">
        <f ca="1">IFERROR(__xludf.DUMMYFUNCTION("""COMPUTED_VALUE"""),"02 ОТПР")</f>
        <v>02 ОТПР</v>
      </c>
      <c r="O37">
        <f ca="1">IFERROR(__xludf.DUMMYFUNCTION("""COMPUTED_VALUE"""),49200)</f>
        <v>49200</v>
      </c>
      <c r="P37" t="str">
        <f ca="1">IFERROR(__xludf.DUMMYFUNCTION("""COMPUTED_VALUE"""),"СЛАВЯНСК")</f>
        <v>СЛАВЯНСК</v>
      </c>
      <c r="Q37">
        <f ca="1">IFERROR(__xludf.DUMMYFUNCTION("""COMPUTED_VALUE"""),45590)</f>
        <v>45590</v>
      </c>
      <c r="R37" t="str">
        <f ca="1">IFERROR(__xludf.DUMMYFUNCTION("""COMPUTED_VALUE"""),"ТРИТУЗНАЯ")</f>
        <v>ТРИТУЗНАЯ</v>
      </c>
      <c r="S37" t="str">
        <f ca="1">IFERROR(__xludf.DUMMYFUNCTION("""COMPUTED_VALUE"""),"09.08.21 14-00")</f>
        <v>09.08.21 14-00</v>
      </c>
      <c r="T37">
        <f ca="1">IFERROR(__xludf.DUMMYFUNCTION("""COMPUTED_VALUE"""),5620)</f>
        <v>5620</v>
      </c>
      <c r="U37" t="str">
        <f ca="1">IFERROR(__xludf.DUMMYFUNCTION("""COMPUTED_VALUE"""),"22.03.2023 ДР")</f>
        <v>22.03.2023 ДР</v>
      </c>
      <c r="Z37" t="str">
        <f ca="1">IFERROR(__xludf.DUMMYFUNCTION("""COMPUTED_VALUE"""),"ЧАО «ТРАНСФОРВАРДИНГ ЛИМИТЕД АГ»")</f>
        <v>ЧАО «ТРАНСФОРВАРДИНГ ЛИМИТЕД АГ»</v>
      </c>
      <c r="AA37" t="str">
        <f ca="1">IFERROR(__xludf.DUMMYFUNCTION("""COMPUTED_VALUE"""),"11-217")</f>
        <v>11-217</v>
      </c>
      <c r="AB37" t="str">
        <f ca="1">IFERROR(__xludf.DUMMYFUNCTION("""COMPUTED_VALUE"""),"48 ДОН")</f>
        <v>48 ДОН</v>
      </c>
      <c r="AC37" t="str">
        <f ca="1">IFERROR(__xludf.DUMMYFUNCTION("""COMPUTED_VALUE"""),"49480 СОЛЬ")</f>
        <v>49480 СОЛЬ</v>
      </c>
      <c r="AD37" t="str">
        <f ca="1">IFERROR(__xludf.DUMMYFUNCTION("""COMPUTED_VALUE"""),"04.06.21 12-15")</f>
        <v>04.06.21 12-15</v>
      </c>
      <c r="AE37" t="str">
        <f ca="1">IFERROR(__xludf.DUMMYFUNCTION("""COMPUTED_VALUE"""),"563")</f>
        <v>563</v>
      </c>
      <c r="AF37" t="str">
        <f ca="1">IFERROR(__xludf.DUMMYFUNCTION("""COMPUTED_VALUE"""),"48 ДОН")</f>
        <v>48 ДОН</v>
      </c>
      <c r="AG37" t="str">
        <f ca="1">IFERROR(__xludf.DUMMYFUNCTION("""COMPUTED_VALUE"""),"49480 СОЛЬ")</f>
        <v>49480 СОЛЬ</v>
      </c>
      <c r="AH37" t="str">
        <f ca="1">IFERROR(__xludf.DUMMYFUNCTION("""COMPUTED_VALUE"""),"20.06.21 15-00")</f>
        <v>20.06.21 15-00</v>
      </c>
      <c r="AI37" s="21">
        <f ca="1">IFERROR(__xludf.DUMMYFUNCTION("""COMPUTED_VALUE"""),44420.3576504629)</f>
        <v>44420.357650462902</v>
      </c>
    </row>
    <row r="38" spans="1:35" ht="15.75" customHeight="1" x14ac:dyDescent="0.15">
      <c r="A38">
        <f ca="1">IFERROR(__xludf.DUMMYFUNCTION("""COMPUTED_VALUE"""),117)</f>
        <v>117</v>
      </c>
      <c r="B38" t="str">
        <f ca="1">IFERROR(__xludf.DUMMYFUNCTION("""COMPUTED_VALUE"""),"Соль")</f>
        <v>Соль</v>
      </c>
      <c r="C38" t="str">
        <f ca="1">IFERROR(__xludf.DUMMYFUNCTION("""COMPUTED_VALUE"""),"Сидрейл")</f>
        <v>Сидрейл</v>
      </c>
      <c r="D38">
        <f ca="1">IFERROR(__xludf.DUMMYFUNCTION("""COMPUTED_VALUE"""),23999386)</f>
        <v>23999386</v>
      </c>
      <c r="E38" t="str">
        <f ca="1">IFERROR(__xludf.DUMMYFUNCTION("""COMPUTED_VALUE"""),"20 КРЫТЫЕ")</f>
        <v>20 КРЫТЫЕ</v>
      </c>
      <c r="F38">
        <f ca="1">IFERROR(__xludf.DUMMYFUNCTION("""COMPUTED_VALUE"""),42103)</f>
        <v>42103</v>
      </c>
      <c r="G38" t="str">
        <f ca="1">IFERROR(__xludf.DUMMYFUNCTION("""COMPUTED_VALUE"""),"ВАГОНЫ ЖД СВ")</f>
        <v>ВАГОНЫ ЖД СВ</v>
      </c>
      <c r="H38">
        <f ca="1">IFERROR(__xludf.DUMMYFUNCTION("""COMPUTED_VALUE"""),0)</f>
        <v>0</v>
      </c>
      <c r="I38">
        <f ca="1">IFERROR(__xludf.DUMMYFUNCTION("""COMPUTED_VALUE"""),4714)</f>
        <v>4714</v>
      </c>
      <c r="J38" t="str">
        <f ca="1">IFERROR(__xludf.DUMMYFUNCTION("""COMPUTED_VALUE"""),"3507 (49000-719-49450) ЛИМАН - КУРДЮМОВКА")</f>
        <v>3507 (49000-719-49450) ЛИМАН - КУРДЮМОВКА</v>
      </c>
      <c r="K38">
        <f ca="1">IFERROR(__xludf.DUMMYFUNCTION("""COMPUTED_VALUE"""),49480)</f>
        <v>49480</v>
      </c>
      <c r="L38" t="str">
        <f ca="1">IFERROR(__xludf.DUMMYFUNCTION("""COMPUTED_VALUE"""),"СОЛЬ")</f>
        <v>СОЛЬ</v>
      </c>
      <c r="M38" t="str">
        <f ca="1">IFERROR(__xludf.DUMMYFUNCTION("""COMPUTED_VALUE"""),"11.08.21 16-15")</f>
        <v>11.08.21 16-15</v>
      </c>
      <c r="N38" t="str">
        <f ca="1">IFERROR(__xludf.DUMMYFUNCTION("""COMPUTED_VALUE"""),"98 ОТОТ")</f>
        <v>98 ОТОТ</v>
      </c>
      <c r="O38">
        <f ca="1">IFERROR(__xludf.DUMMYFUNCTION("""COMPUTED_VALUE"""),49480)</f>
        <v>49480</v>
      </c>
      <c r="P38" t="str">
        <f ca="1">IFERROR(__xludf.DUMMYFUNCTION("""COMPUTED_VALUE"""),"СОЛЬ")</f>
        <v>СОЛЬ</v>
      </c>
      <c r="Q38">
        <f ca="1">IFERROR(__xludf.DUMMYFUNCTION("""COMPUTED_VALUE"""),44990)</f>
        <v>44990</v>
      </c>
      <c r="R38" t="str">
        <f ca="1">IFERROR(__xludf.DUMMYFUNCTION("""COMPUTED_VALUE"""),"ХАРЬК-ЛИСКИ")</f>
        <v>ХАРЬК-ЛИСКИ</v>
      </c>
      <c r="S38" t="str">
        <f ca="1">IFERROR(__xludf.DUMMYFUNCTION("""COMPUTED_VALUE"""),"08.08.21 13-20")</f>
        <v>08.08.21 13-20</v>
      </c>
      <c r="T38">
        <f ca="1">IFERROR(__xludf.DUMMYFUNCTION("""COMPUTED_VALUE"""),3395)</f>
        <v>3395</v>
      </c>
      <c r="U38" t="str">
        <f ca="1">IFERROR(__xludf.DUMMYFUNCTION("""COMPUTED_VALUE"""),"24.01.2024 ТР-1")</f>
        <v>24.01.2024 ТР-1</v>
      </c>
      <c r="Z38" t="str">
        <f ca="1">IFERROR(__xludf.DUMMYFUNCTION("""COMPUTED_VALUE"""),"ООО «УКРТРАНСЛОДЖИСТИК»")</f>
        <v>ООО «УКРТРАНСЛОДЖИСТИК»</v>
      </c>
      <c r="AA38" t="str">
        <f ca="1">IFERROR(__xludf.DUMMYFUNCTION("""COMPUTED_VALUE"""),"11-066-05")</f>
        <v>11-066-05</v>
      </c>
      <c r="AB38" t="str">
        <f ca="1">IFERROR(__xludf.DUMMYFUNCTION("""COMPUTED_VALUE"""),"48 ДОН")</f>
        <v>48 ДОН</v>
      </c>
      <c r="AC38" t="str">
        <f ca="1">IFERROR(__xludf.DUMMYFUNCTION("""COMPUTED_VALUE"""),"49000 ЛИМАН")</f>
        <v>49000 ЛИМАН</v>
      </c>
      <c r="AD38" t="str">
        <f ca="1">IFERROR(__xludf.DUMMYFUNCTION("""COMPUTED_VALUE"""),"22.07.21 05-45")</f>
        <v>22.07.21 05-45</v>
      </c>
      <c r="AE38" t="str">
        <f ca="1">IFERROR(__xludf.DUMMYFUNCTION("""COMPUTED_VALUE"""),"621 ТPEЩИНА КOНЦEВЫX БAЛOК")</f>
        <v>621 ТPEЩИНА КOНЦEВЫX БAЛOК</v>
      </c>
      <c r="AF38" t="str">
        <f ca="1">IFERROR(__xludf.DUMMYFUNCTION("""COMPUTED_VALUE"""),"48 ДОН")</f>
        <v>48 ДОН</v>
      </c>
      <c r="AG38" t="str">
        <f ca="1">IFERROR(__xludf.DUMMYFUNCTION("""COMPUTED_VALUE"""),"49000 ЛИМАН")</f>
        <v>49000 ЛИМАН</v>
      </c>
      <c r="AH38" t="str">
        <f ca="1">IFERROR(__xludf.DUMMYFUNCTION("""COMPUTED_VALUE"""),"23.07.21 17-00")</f>
        <v>23.07.21 17-00</v>
      </c>
      <c r="AI38" s="21">
        <f ca="1">IFERROR(__xludf.DUMMYFUNCTION("""COMPUTED_VALUE"""),44420.3576504629)</f>
        <v>44420.357650462902</v>
      </c>
    </row>
    <row r="39" spans="1:35" ht="15.75" customHeight="1" x14ac:dyDescent="0.15">
      <c r="A39">
        <f ca="1">IFERROR(__xludf.DUMMYFUNCTION("""COMPUTED_VALUE"""),118)</f>
        <v>118</v>
      </c>
      <c r="B39" t="str">
        <f ca="1">IFERROR(__xludf.DUMMYFUNCTION("""COMPUTED_VALUE"""),"Кнауф")</f>
        <v>Кнауф</v>
      </c>
      <c r="C39" t="str">
        <f ca="1">IFERROR(__xludf.DUMMYFUNCTION("""COMPUTED_VALUE"""),"Сидрейл")</f>
        <v>Сидрейл</v>
      </c>
      <c r="D39">
        <f ca="1">IFERROR(__xludf.DUMMYFUNCTION("""COMPUTED_VALUE"""),24048662)</f>
        <v>24048662</v>
      </c>
      <c r="E39" t="str">
        <f ca="1">IFERROR(__xludf.DUMMYFUNCTION("""COMPUTED_VALUE"""),"20 КРЫТЫЕ")</f>
        <v>20 КРЫТЫЕ</v>
      </c>
      <c r="F39">
        <f ca="1">IFERROR(__xludf.DUMMYFUNCTION("""COMPUTED_VALUE"""),42103)</f>
        <v>42103</v>
      </c>
      <c r="G39" t="str">
        <f ca="1">IFERROR(__xludf.DUMMYFUNCTION("""COMPUTED_VALUE"""),"ВАГОНЫ ЖД СВ")</f>
        <v>ВАГОНЫ ЖД СВ</v>
      </c>
      <c r="H39">
        <f ca="1">IFERROR(__xludf.DUMMYFUNCTION("""COMPUTED_VALUE"""),0)</f>
        <v>0</v>
      </c>
      <c r="I39">
        <f ca="1">IFERROR(__xludf.DUMMYFUNCTION("""COMPUTED_VALUE"""),8199)</f>
        <v>8199</v>
      </c>
      <c r="J39" t="str">
        <f ca="1">IFERROR(__xludf.DUMMYFUNCTION("""COMPUTED_VALUE"""),"2209 (32000-526-37040) ДАРНИЦА - КЛЕПАРОВ")</f>
        <v>2209 (32000-526-37040) ДАРНИЦА - КЛЕПАРОВ</v>
      </c>
      <c r="K39">
        <f ca="1">IFERROR(__xludf.DUMMYFUNCTION("""COMPUTED_VALUE"""),37040)</f>
        <v>37040</v>
      </c>
      <c r="L39" t="str">
        <f ca="1">IFERROR(__xludf.DUMMYFUNCTION("""COMPUTED_VALUE"""),"КЛЕПАРОВ")</f>
        <v>КЛЕПАРОВ</v>
      </c>
      <c r="M39" t="str">
        <f ca="1">IFERROR(__xludf.DUMMYFUNCTION("""COMPUTED_VALUE"""),"12.08.21 06-30")</f>
        <v>12.08.21 06-30</v>
      </c>
      <c r="N39" t="str">
        <f ca="1">IFERROR(__xludf.DUMMYFUNCTION("""COMPUTED_VALUE"""),"01 ПРИБ")</f>
        <v>01 ПРИБ</v>
      </c>
      <c r="O39">
        <f ca="1">IFERROR(__xludf.DUMMYFUNCTION("""COMPUTED_VALUE"""),38830)</f>
        <v>38830</v>
      </c>
      <c r="P39" t="str">
        <f ca="1">IFERROR(__xludf.DUMMYFUNCTION("""COMPUTED_VALUE"""),"ЯМНИЦА")</f>
        <v>ЯМНИЦА</v>
      </c>
      <c r="Q39">
        <f ca="1">IFERROR(__xludf.DUMMYFUNCTION("""COMPUTED_VALUE"""),32060)</f>
        <v>32060</v>
      </c>
      <c r="R39" t="str">
        <f ca="1">IFERROR(__xludf.DUMMYFUNCTION("""COMPUTED_VALUE"""),"ПОЧАЙНА")</f>
        <v>ПОЧАЙНА</v>
      </c>
      <c r="S39" t="str">
        <f ca="1">IFERROR(__xludf.DUMMYFUNCTION("""COMPUTED_VALUE"""),"04.08.21 11-20")</f>
        <v>04.08.21 11-20</v>
      </c>
      <c r="T39">
        <f ca="1">IFERROR(__xludf.DUMMYFUNCTION("""COMPUTED_VALUE"""),8200)</f>
        <v>8200</v>
      </c>
      <c r="U39" t="str">
        <f ca="1">IFERROR(__xludf.DUMMYFUNCTION("""COMPUTED_VALUE"""),"22.01.2024 ДР")</f>
        <v>22.01.2024 ДР</v>
      </c>
      <c r="Z39" t="str">
        <f ca="1">IFERROR(__xludf.DUMMYFUNCTION("""COMPUTED_VALUE"""),"ООО «УКРТРАНСЛОДЖИСТИК»")</f>
        <v>ООО «УКРТРАНСЛОДЖИСТИК»</v>
      </c>
      <c r="AA39" t="str">
        <f ca="1">IFERROR(__xludf.DUMMYFUNCTION("""COMPUTED_VALUE"""),"11-217")</f>
        <v>11-217</v>
      </c>
      <c r="AB39" t="str">
        <f ca="1">IFERROR(__xludf.DUMMYFUNCTION("""COMPUTED_VALUE"""),"32 Ю-ЗАП")</f>
        <v>32 Ю-ЗАП</v>
      </c>
      <c r="AC39" t="str">
        <f ca="1">IFERROR(__xludf.DUMMYFUNCTION("""COMPUTED_VALUE"""),"33000 ЖМЕРИНКА")</f>
        <v>33000 ЖМЕРИНКА</v>
      </c>
      <c r="AD39" t="str">
        <f ca="1">IFERROR(__xludf.DUMMYFUNCTION("""COMPUTED_VALUE"""),"02.01.21 11-58")</f>
        <v>02.01.21 11-58</v>
      </c>
      <c r="AE39" t="str">
        <f ca="1">IFERROR(__xludf.DUMMYFUNCTION("""COMPUTED_VALUE"""),"570 ИCТEК КAЛЕНДАРНЫЙ CPOК ДEПOВCКОГО PEМOНТA")</f>
        <v>570 ИCТEК КAЛЕНДАРНЫЙ CPOК ДEПOВCКОГО PEМOНТA</v>
      </c>
      <c r="AF39" t="str">
        <f ca="1">IFERROR(__xludf.DUMMYFUNCTION("""COMPUTED_VALUE"""),"32 Ю-ЗАП")</f>
        <v>32 Ю-ЗАП</v>
      </c>
      <c r="AG39" t="str">
        <f ca="1">IFERROR(__xludf.DUMMYFUNCTION("""COMPUTED_VALUE"""),"33000 ЖМЕРИНКА")</f>
        <v>33000 ЖМЕРИНКА</v>
      </c>
      <c r="AH39" t="str">
        <f ca="1">IFERROR(__xludf.DUMMYFUNCTION("""COMPUTED_VALUE"""),"22.01.21 15-25")</f>
        <v>22.01.21 15-25</v>
      </c>
      <c r="AI39" s="21">
        <f ca="1">IFERROR(__xludf.DUMMYFUNCTION("""COMPUTED_VALUE"""),44420.3576504629)</f>
        <v>44420.357650462902</v>
      </c>
    </row>
    <row r="40" spans="1:35" ht="15.75" customHeight="1" x14ac:dyDescent="0.15">
      <c r="A40">
        <f ca="1">IFERROR(__xludf.DUMMYFUNCTION("""COMPUTED_VALUE"""),119)</f>
        <v>119</v>
      </c>
      <c r="B40" t="str">
        <f ca="1">IFERROR(__xludf.DUMMYFUNCTION("""COMPUTED_VALUE"""),"Кнауф")</f>
        <v>Кнауф</v>
      </c>
      <c r="C40" t="str">
        <f ca="1">IFERROR(__xludf.DUMMYFUNCTION("""COMPUTED_VALUE"""),"Сидрейл")</f>
        <v>Сидрейл</v>
      </c>
      <c r="D40">
        <f ca="1">IFERROR(__xludf.DUMMYFUNCTION("""COMPUTED_VALUE"""),24360018)</f>
        <v>24360018</v>
      </c>
      <c r="E40" t="str">
        <f ca="1">IFERROR(__xludf.DUMMYFUNCTION("""COMPUTED_VALUE"""),"20 КРЫТЫЕ")</f>
        <v>20 КРЫТЫЕ</v>
      </c>
      <c r="F40">
        <f ca="1">IFERROR(__xludf.DUMMYFUNCTION("""COMPUTED_VALUE"""),23304)</f>
        <v>23304</v>
      </c>
      <c r="G40" t="str">
        <f ca="1">IFERROR(__xludf.DUMMYFUNCTION("""COMPUTED_VALUE"""),"ГИПС ПР")</f>
        <v>ГИПС ПР</v>
      </c>
      <c r="H40">
        <f ca="1">IFERROR(__xludf.DUMMYFUNCTION("""COMPUTED_VALUE"""),67)</f>
        <v>67</v>
      </c>
      <c r="I40">
        <f ca="1">IFERROR(__xludf.DUMMYFUNCTION("""COMPUTED_VALUE"""),5907)</f>
        <v>5907</v>
      </c>
      <c r="J40" t="str">
        <f ca="1">IFERROR(__xludf.DUMMYFUNCTION("""COMPUTED_VALUE"""),"4831 (49640-037-49460)  - БАХМУТ")</f>
        <v>4831 (49640-037-49460)  - БАХМУТ</v>
      </c>
      <c r="K40">
        <f ca="1">IFERROR(__xludf.DUMMYFUNCTION("""COMPUTED_VALUE"""),49460)</f>
        <v>49460</v>
      </c>
      <c r="L40" t="str">
        <f ca="1">IFERROR(__xludf.DUMMYFUNCTION("""COMPUTED_VALUE"""),"БАХМУТ")</f>
        <v>БАХМУТ</v>
      </c>
      <c r="M40" t="str">
        <f ca="1">IFERROR(__xludf.DUMMYFUNCTION("""COMPUTED_VALUE"""),"12.08.21 07-00")</f>
        <v>12.08.21 07-00</v>
      </c>
      <c r="N40" t="str">
        <f ca="1">IFERROR(__xludf.DUMMYFUNCTION("""COMPUTED_VALUE"""),"04 РАСФ")</f>
        <v>04 РАСФ</v>
      </c>
      <c r="O40">
        <f ca="1">IFERROR(__xludf.DUMMYFUNCTION("""COMPUTED_VALUE"""),35780)</f>
        <v>35780</v>
      </c>
      <c r="P40" t="str">
        <f ca="1">IFERROR(__xludf.DUMMYFUNCTION("""COMPUTED_VALUE"""),"ЛУЦК")</f>
        <v>ЛУЦК</v>
      </c>
      <c r="Q40">
        <f ca="1">IFERROR(__xludf.DUMMYFUNCTION("""COMPUTED_VALUE"""),49620)</f>
        <v>49620</v>
      </c>
      <c r="R40" t="str">
        <f ca="1">IFERROR(__xludf.DUMMYFUNCTION("""COMPUTED_VALUE"""),"ДЕКОНСКАЯ")</f>
        <v>ДЕКОНСКАЯ</v>
      </c>
      <c r="S40" t="str">
        <f ca="1">IFERROR(__xludf.DUMMYFUNCTION("""COMPUTED_VALUE"""),"11.08.21 20-10")</f>
        <v>11.08.21 20-10</v>
      </c>
      <c r="T40">
        <f ca="1">IFERROR(__xludf.DUMMYFUNCTION("""COMPUTED_VALUE"""),4149)</f>
        <v>4149</v>
      </c>
      <c r="U40" t="str">
        <f ca="1">IFERROR(__xludf.DUMMYFUNCTION("""COMPUTED_VALUE"""),"24.01.2024 ТР-1")</f>
        <v>24.01.2024 ТР-1</v>
      </c>
      <c r="Z40" t="str">
        <f ca="1">IFERROR(__xludf.DUMMYFUNCTION("""COMPUTED_VALUE"""),"ООО «УКРТРАНСЛОДЖИСТИК»")</f>
        <v>ООО «УКРТРАНСЛОДЖИСТИК»</v>
      </c>
      <c r="AA40" t="str">
        <f ca="1">IFERROR(__xludf.DUMMYFUNCTION("""COMPUTED_VALUE"""),"11-217")</f>
        <v>11-217</v>
      </c>
      <c r="AB40" t="str">
        <f ca="1">IFERROR(__xludf.DUMMYFUNCTION("""COMPUTED_VALUE"""),"32 Ю-ЗАП")</f>
        <v>32 Ю-ЗАП</v>
      </c>
      <c r="AC40" t="str">
        <f ca="1">IFERROR(__xludf.DUMMYFUNCTION("""COMPUTED_VALUE"""),"33000 ЖМЕРИНКА")</f>
        <v>33000 ЖМЕРИНКА</v>
      </c>
      <c r="AD40" t="str">
        <f ca="1">IFERROR(__xludf.DUMMYFUNCTION("""COMPUTED_VALUE"""),"09.01.21 09-05")</f>
        <v>09.01.21 09-05</v>
      </c>
      <c r="AE40" t="str">
        <f ca="1">IFERROR(__xludf.DUMMYFUNCTION("""COMPUTED_VALUE"""),"570 ИCТEК КAЛЕНДАРНЫЙ CPOК ДEПOВCКОГО PEМOНТA")</f>
        <v>570 ИCТEК КAЛЕНДАРНЫЙ CPOК ДEПOВCКОГО PEМOНТA</v>
      </c>
      <c r="AF40" t="str">
        <f ca="1">IFERROR(__xludf.DUMMYFUNCTION("""COMPUTED_VALUE"""),"32 Ю-ЗАП")</f>
        <v>32 Ю-ЗАП</v>
      </c>
      <c r="AG40" t="str">
        <f ca="1">IFERROR(__xludf.DUMMYFUNCTION("""COMPUTED_VALUE"""),"33000 ЖМЕРИНКА")</f>
        <v>33000 ЖМЕРИНКА</v>
      </c>
      <c r="AH40" t="str">
        <f ca="1">IFERROR(__xludf.DUMMYFUNCTION("""COMPUTED_VALUE"""),"24.01.21 18-43")</f>
        <v>24.01.21 18-43</v>
      </c>
      <c r="AI40" s="21">
        <f ca="1">IFERROR(__xludf.DUMMYFUNCTION("""COMPUTED_VALUE"""),44420.3576504629)</f>
        <v>44420.357650462902</v>
      </c>
    </row>
    <row r="41" spans="1:35" ht="15.75" customHeight="1" x14ac:dyDescent="0.15">
      <c r="A41">
        <f ca="1">IFERROR(__xludf.DUMMYFUNCTION("""COMPUTED_VALUE"""),120)</f>
        <v>120</v>
      </c>
      <c r="B41" t="str">
        <f ca="1">IFERROR(__xludf.DUMMYFUNCTION("""COMPUTED_VALUE"""),"Кнауф")</f>
        <v>Кнауф</v>
      </c>
      <c r="C41" t="str">
        <f ca="1">IFERROR(__xludf.DUMMYFUNCTION("""COMPUTED_VALUE"""),"Сидрейл")</f>
        <v>Сидрейл</v>
      </c>
      <c r="D41">
        <f ca="1">IFERROR(__xludf.DUMMYFUNCTION("""COMPUTED_VALUE"""),24327785)</f>
        <v>24327785</v>
      </c>
      <c r="E41" t="str">
        <f ca="1">IFERROR(__xludf.DUMMYFUNCTION("""COMPUTED_VALUE"""),"20 КРЫТЫЕ")</f>
        <v>20 КРЫТЫЕ</v>
      </c>
      <c r="F41">
        <f ca="1">IFERROR(__xludf.DUMMYFUNCTION("""COMPUTED_VALUE"""),42103)</f>
        <v>42103</v>
      </c>
      <c r="G41" t="str">
        <f ca="1">IFERROR(__xludf.DUMMYFUNCTION("""COMPUTED_VALUE"""),"ВАГОНЫ ЖД СВ")</f>
        <v>ВАГОНЫ ЖД СВ</v>
      </c>
      <c r="H41">
        <f ca="1">IFERROR(__xludf.DUMMYFUNCTION("""COMPUTED_VALUE"""),0)</f>
        <v>0</v>
      </c>
      <c r="I41">
        <f ca="1">IFERROR(__xludf.DUMMYFUNCTION("""COMPUTED_VALUE"""),4149)</f>
        <v>4149</v>
      </c>
      <c r="J41" t="str">
        <f ca="1">IFERROR(__xludf.DUMMYFUNCTION("""COMPUTED_VALUE"""),"4802 (44090-012-44020) ЗАЛЮТИНО - ОСНОВА")</f>
        <v>4802 (44090-012-44020) ЗАЛЮТИНО - ОСНОВА</v>
      </c>
      <c r="K41">
        <f ca="1">IFERROR(__xludf.DUMMYFUNCTION("""COMPUTED_VALUE"""),44090)</f>
        <v>44090</v>
      </c>
      <c r="L41" t="str">
        <f ca="1">IFERROR(__xludf.DUMMYFUNCTION("""COMPUTED_VALUE"""),"ЗАЛЮТИНО")</f>
        <v>ЗАЛЮТИНО</v>
      </c>
      <c r="M41" t="str">
        <f ca="1">IFERROR(__xludf.DUMMYFUNCTION("""COMPUTED_VALUE"""),"12.08.21 03-13")</f>
        <v>12.08.21 03-13</v>
      </c>
      <c r="N41" t="str">
        <f ca="1">IFERROR(__xludf.DUMMYFUNCTION("""COMPUTED_VALUE"""),"05 ФОРМ")</f>
        <v>05 ФОРМ</v>
      </c>
      <c r="O41">
        <f ca="1">IFERROR(__xludf.DUMMYFUNCTION("""COMPUTED_VALUE"""),49620)</f>
        <v>49620</v>
      </c>
      <c r="P41" t="str">
        <f ca="1">IFERROR(__xludf.DUMMYFUNCTION("""COMPUTED_VALUE"""),"ДЕКОНСКАЯ")</f>
        <v>ДЕКОНСКАЯ</v>
      </c>
      <c r="Q41">
        <f ca="1">IFERROR(__xludf.DUMMYFUNCTION("""COMPUTED_VALUE"""),44090)</f>
        <v>44090</v>
      </c>
      <c r="R41" t="str">
        <f ca="1">IFERROR(__xludf.DUMMYFUNCTION("""COMPUTED_VALUE"""),"ЗАЛЮТИНО")</f>
        <v>ЗАЛЮТИНО</v>
      </c>
      <c r="S41" t="str">
        <f ca="1">IFERROR(__xludf.DUMMYFUNCTION("""COMPUTED_VALUE"""),"10.08.21 08-50")</f>
        <v>10.08.21 08-50</v>
      </c>
      <c r="T41">
        <f ca="1">IFERROR(__xludf.DUMMYFUNCTION("""COMPUTED_VALUE"""),8200)</f>
        <v>8200</v>
      </c>
      <c r="U41" t="str">
        <f ca="1">IFERROR(__xludf.DUMMYFUNCTION("""COMPUTED_VALUE"""),"24.01.2024 ТР-1")</f>
        <v>24.01.2024 ТР-1</v>
      </c>
      <c r="Z41" t="str">
        <f ca="1">IFERROR(__xludf.DUMMYFUNCTION("""COMPUTED_VALUE"""),"ООО «УКРТРАНСЛОДЖИСТИК»")</f>
        <v>ООО «УКРТРАНСЛОДЖИСТИК»</v>
      </c>
      <c r="AA41" t="str">
        <f ca="1">IFERROR(__xludf.DUMMYFUNCTION("""COMPUTED_VALUE"""),"11-217")</f>
        <v>11-217</v>
      </c>
      <c r="AB41" t="str">
        <f ca="1">IFERROR(__xludf.DUMMYFUNCTION("""COMPUTED_VALUE"""),"32 Ю-ЗАП")</f>
        <v>32 Ю-ЗАП</v>
      </c>
      <c r="AC41" t="str">
        <f ca="1">IFERROR(__xludf.DUMMYFUNCTION("""COMPUTED_VALUE"""),"33000 ЖМЕРИНКА")</f>
        <v>33000 ЖМЕРИНКА</v>
      </c>
      <c r="AD41" t="str">
        <f ca="1">IFERROR(__xludf.DUMMYFUNCTION("""COMPUTED_VALUE"""),"07.01.21 08-51")</f>
        <v>07.01.21 08-51</v>
      </c>
      <c r="AE41" t="str">
        <f ca="1">IFERROR(__xludf.DUMMYFUNCTION("""COMPUTED_VALUE"""),"570 ИCТEК КAЛЕНДАРНЫЙ CPOК ДEПOВCКОГО PEМOНТA")</f>
        <v>570 ИCТEК КAЛЕНДАРНЫЙ CPOК ДEПOВCКОГО PEМOНТA</v>
      </c>
      <c r="AF41" t="str">
        <f ca="1">IFERROR(__xludf.DUMMYFUNCTION("""COMPUTED_VALUE"""),"32 Ю-ЗАП")</f>
        <v>32 Ю-ЗАП</v>
      </c>
      <c r="AG41" t="str">
        <f ca="1">IFERROR(__xludf.DUMMYFUNCTION("""COMPUTED_VALUE"""),"33000 ЖМЕРИНКА")</f>
        <v>33000 ЖМЕРИНКА</v>
      </c>
      <c r="AH41" t="str">
        <f ca="1">IFERROR(__xludf.DUMMYFUNCTION("""COMPUTED_VALUE"""),"27.01.21 17-33")</f>
        <v>27.01.21 17-33</v>
      </c>
      <c r="AI41" s="21">
        <f ca="1">IFERROR(__xludf.DUMMYFUNCTION("""COMPUTED_VALUE"""),44420.3576504629)</f>
        <v>44420.357650462902</v>
      </c>
    </row>
    <row r="42" spans="1:35" ht="15.75" customHeight="1" x14ac:dyDescent="0.15">
      <c r="A42">
        <f ca="1">IFERROR(__xludf.DUMMYFUNCTION("""COMPUTED_VALUE"""),121)</f>
        <v>121</v>
      </c>
      <c r="B42" t="str">
        <f ca="1">IFERROR(__xludf.DUMMYFUNCTION("""COMPUTED_VALUE"""),"Кнауф")</f>
        <v>Кнауф</v>
      </c>
      <c r="C42" t="str">
        <f ca="1">IFERROR(__xludf.DUMMYFUNCTION("""COMPUTED_VALUE"""),"Сидрейл")</f>
        <v>Сидрейл</v>
      </c>
      <c r="D42">
        <f ca="1">IFERROR(__xludf.DUMMYFUNCTION("""COMPUTED_VALUE"""),24045825)</f>
        <v>24045825</v>
      </c>
      <c r="E42" t="str">
        <f ca="1">IFERROR(__xludf.DUMMYFUNCTION("""COMPUTED_VALUE"""),"20 КРЫТЫЕ")</f>
        <v>20 КРЫТЫЕ</v>
      </c>
      <c r="F42">
        <f ca="1">IFERROR(__xludf.DUMMYFUNCTION("""COMPUTED_VALUE"""),28114)</f>
        <v>28114</v>
      </c>
      <c r="G42" t="str">
        <f ca="1">IFERROR(__xludf.DUMMYFUNCTION("""COMPUTED_VALUE"""),"ЦЕМЕНТ ПР")</f>
        <v>ЦЕМЕНТ ПР</v>
      </c>
      <c r="H42">
        <f ca="1">IFERROR(__xludf.DUMMYFUNCTION("""COMPUTED_VALUE"""),68)</f>
        <v>68</v>
      </c>
      <c r="I42">
        <f ca="1">IFERROR(__xludf.DUMMYFUNCTION("""COMPUTED_VALUE"""),1494)</f>
        <v>1494</v>
      </c>
      <c r="J42" t="str">
        <f ca="1">IFERROR(__xludf.DUMMYFUNCTION("""COMPUTED_VALUE"""),"2834 (37000-715-42500) ЛЬВОВ - КРЕМЕНЧУГ")</f>
        <v>2834 (37000-715-42500) ЛЬВОВ - КРЕМЕНЧУГ</v>
      </c>
      <c r="K42">
        <f ca="1">IFERROR(__xludf.DUMMYFUNCTION("""COMPUTED_VALUE"""),34200)</f>
        <v>34200</v>
      </c>
      <c r="L42" t="str">
        <f ca="1">IFERROR(__xludf.DUMMYFUNCTION("""COMPUTED_VALUE"""),"РАЗИНО")</f>
        <v>РАЗИНО</v>
      </c>
      <c r="M42" t="str">
        <f ca="1">IFERROR(__xludf.DUMMYFUNCTION("""COMPUTED_VALUE"""),"12.08.21 08-08")</f>
        <v>12.08.21 08-08</v>
      </c>
      <c r="N42" t="str">
        <f ca="1">IFERROR(__xludf.DUMMYFUNCTION("""COMPUTED_VALUE"""),"03 ПРОС")</f>
        <v>03 ПРОС</v>
      </c>
      <c r="O42">
        <f ca="1">IFERROR(__xludf.DUMMYFUNCTION("""COMPUTED_VALUE"""),44050)</f>
        <v>44050</v>
      </c>
      <c r="P42" t="str">
        <f ca="1">IFERROR(__xludf.DUMMYFUNCTION("""COMPUTED_VALUE"""),"ХАРЬКОВ-БАЛ")</f>
        <v>ХАРЬКОВ-БАЛ</v>
      </c>
      <c r="Q42">
        <f ca="1">IFERROR(__xludf.DUMMYFUNCTION("""COMPUTED_VALUE"""),38830)</f>
        <v>38830</v>
      </c>
      <c r="R42" t="str">
        <f ca="1">IFERROR(__xludf.DUMMYFUNCTION("""COMPUTED_VALUE"""),"ЯМНИЦА")</f>
        <v>ЯМНИЦА</v>
      </c>
      <c r="S42" t="str">
        <f ca="1">IFERROR(__xludf.DUMMYFUNCTION("""COMPUTED_VALUE"""),"04.08.21 03-30")</f>
        <v>04.08.21 03-30</v>
      </c>
      <c r="T42">
        <f ca="1">IFERROR(__xludf.DUMMYFUNCTION("""COMPUTED_VALUE"""),8199)</f>
        <v>8199</v>
      </c>
      <c r="U42" t="str">
        <f ca="1">IFERROR(__xludf.DUMMYFUNCTION("""COMPUTED_VALUE"""),"16.01.2024 ДР")</f>
        <v>16.01.2024 ДР</v>
      </c>
      <c r="Z42" t="str">
        <f ca="1">IFERROR(__xludf.DUMMYFUNCTION("""COMPUTED_VALUE"""),"ООО «УКРТРАНСЛОДЖИСТИК»")</f>
        <v>ООО «УКРТРАНСЛОДЖИСТИК»</v>
      </c>
      <c r="AA42" t="str">
        <f ca="1">IFERROR(__xludf.DUMMYFUNCTION("""COMPUTED_VALUE"""),"11-217")</f>
        <v>11-217</v>
      </c>
      <c r="AB42" t="str">
        <f ca="1">IFERROR(__xludf.DUMMYFUNCTION("""COMPUTED_VALUE"""),"32 Ю-ЗАП")</f>
        <v>32 Ю-ЗАП</v>
      </c>
      <c r="AC42" t="str">
        <f ca="1">IFERROR(__xludf.DUMMYFUNCTION("""COMPUTED_VALUE"""),"33000 ЖМЕРИНКА")</f>
        <v>33000 ЖМЕРИНКА</v>
      </c>
      <c r="AD42" t="str">
        <f ca="1">IFERROR(__xludf.DUMMYFUNCTION("""COMPUTED_VALUE"""),"29.12.20 10-40")</f>
        <v>29.12.20 10-40</v>
      </c>
      <c r="AE42" t="str">
        <f ca="1">IFERROR(__xludf.DUMMYFUNCTION("""COMPUTED_VALUE"""),"570 ИCТEК КAЛЕНДАРНЫЙ CPOК ДEПOВCКОГО PEМOНТA")</f>
        <v>570 ИCТEК КAЛЕНДАРНЫЙ CPOК ДEПOВCКОГО PEМOНТA</v>
      </c>
      <c r="AF42" t="str">
        <f ca="1">IFERROR(__xludf.DUMMYFUNCTION("""COMPUTED_VALUE"""),"32 Ю-ЗАП")</f>
        <v>32 Ю-ЗАП</v>
      </c>
      <c r="AG42" t="str">
        <f ca="1">IFERROR(__xludf.DUMMYFUNCTION("""COMPUTED_VALUE"""),"33000 ЖМЕРИНКА")</f>
        <v>33000 ЖМЕРИНКА</v>
      </c>
      <c r="AH42" t="str">
        <f ca="1">IFERROR(__xludf.DUMMYFUNCTION("""COMPUTED_VALUE"""),"16.01.21 18-02")</f>
        <v>16.01.21 18-02</v>
      </c>
      <c r="AI42" s="21">
        <f ca="1">IFERROR(__xludf.DUMMYFUNCTION("""COMPUTED_VALUE"""),44420.3576504629)</f>
        <v>44420.357650462902</v>
      </c>
    </row>
    <row r="43" spans="1:35" ht="15.75" customHeight="1" x14ac:dyDescent="0.15">
      <c r="A43">
        <f ca="1">IFERROR(__xludf.DUMMYFUNCTION("""COMPUTED_VALUE"""),122)</f>
        <v>122</v>
      </c>
      <c r="B43" t="str">
        <f ca="1">IFERROR(__xludf.DUMMYFUNCTION("""COMPUTED_VALUE"""),"Кнауф")</f>
        <v>Кнауф</v>
      </c>
      <c r="C43" t="str">
        <f ca="1">IFERROR(__xludf.DUMMYFUNCTION("""COMPUTED_VALUE"""),"Сидрейл")</f>
        <v>Сидрейл</v>
      </c>
      <c r="D43">
        <f ca="1">IFERROR(__xludf.DUMMYFUNCTION("""COMPUTED_VALUE"""),24465312)</f>
        <v>24465312</v>
      </c>
      <c r="E43" t="str">
        <f ca="1">IFERROR(__xludf.DUMMYFUNCTION("""COMPUTED_VALUE"""),"20 КРЫТЫЕ")</f>
        <v>20 КРЫТЫЕ</v>
      </c>
      <c r="F43">
        <f ca="1">IFERROR(__xludf.DUMMYFUNCTION("""COMPUTED_VALUE"""),28114)</f>
        <v>28114</v>
      </c>
      <c r="G43" t="str">
        <f ca="1">IFERROR(__xludf.DUMMYFUNCTION("""COMPUTED_VALUE"""),"ЦЕМЕНТ ПР")</f>
        <v>ЦЕМЕНТ ПР</v>
      </c>
      <c r="H43">
        <f ca="1">IFERROR(__xludf.DUMMYFUNCTION("""COMPUTED_VALUE"""),68)</f>
        <v>68</v>
      </c>
      <c r="I43">
        <f ca="1">IFERROR(__xludf.DUMMYFUNCTION("""COMPUTED_VALUE"""),3553)</f>
        <v>3553</v>
      </c>
      <c r="J43" t="str">
        <f ca="1">IFERROR(__xludf.DUMMYFUNCTION("""COMPUTED_VALUE"""),"4803 (44100-015-44090) КУРЯЖ - ЗАЛЮТИНО")</f>
        <v>4803 (44100-015-44090) КУРЯЖ - ЗАЛЮТИНО</v>
      </c>
      <c r="K43">
        <f ca="1">IFERROR(__xludf.DUMMYFUNCTION("""COMPUTED_VALUE"""),44090)</f>
        <v>44090</v>
      </c>
      <c r="L43" t="str">
        <f ca="1">IFERROR(__xludf.DUMMYFUNCTION("""COMPUTED_VALUE"""),"ЗАЛЮТИНО")</f>
        <v>ЗАЛЮТИНО</v>
      </c>
      <c r="M43" t="str">
        <f ca="1">IFERROR(__xludf.DUMMYFUNCTION("""COMPUTED_VALUE"""),"12.08.21 01-50")</f>
        <v>12.08.21 01-50</v>
      </c>
      <c r="N43" t="str">
        <f ca="1">IFERROR(__xludf.DUMMYFUNCTION("""COMPUTED_VALUE"""),"21 ВЫГ2")</f>
        <v>21 ВЫГ2</v>
      </c>
      <c r="O43">
        <f ca="1">IFERROR(__xludf.DUMMYFUNCTION("""COMPUTED_VALUE"""),44090)</f>
        <v>44090</v>
      </c>
      <c r="P43" t="str">
        <f ca="1">IFERROR(__xludf.DUMMYFUNCTION("""COMPUTED_VALUE"""),"ЗАЛЮТИНО")</f>
        <v>ЗАЛЮТИНО</v>
      </c>
      <c r="Q43">
        <f ca="1">IFERROR(__xludf.DUMMYFUNCTION("""COMPUTED_VALUE"""),38830)</f>
        <v>38830</v>
      </c>
      <c r="R43" t="str">
        <f ca="1">IFERROR(__xludf.DUMMYFUNCTION("""COMPUTED_VALUE"""),"ЯМНИЦА")</f>
        <v>ЯМНИЦА</v>
      </c>
      <c r="S43" t="str">
        <f ca="1">IFERROR(__xludf.DUMMYFUNCTION("""COMPUTED_VALUE"""),"02.08.21 11-00")</f>
        <v>02.08.21 11-00</v>
      </c>
      <c r="U43" t="str">
        <f ca="1">IFERROR(__xludf.DUMMYFUNCTION("""COMPUTED_VALUE"""),"17.01.2024 ДР")</f>
        <v>17.01.2024 ДР</v>
      </c>
      <c r="Z43" t="str">
        <f ca="1">IFERROR(__xludf.DUMMYFUNCTION("""COMPUTED_VALUE"""),"ООО «УКРТРАНСЛОДЖИСТИК»")</f>
        <v>ООО «УКРТРАНСЛОДЖИСТИК»</v>
      </c>
      <c r="AA43" t="str">
        <f ca="1">IFERROR(__xludf.DUMMYFUNCTION("""COMPUTED_VALUE"""),"11-217")</f>
        <v>11-217</v>
      </c>
      <c r="AB43" t="str">
        <f ca="1">IFERROR(__xludf.DUMMYFUNCTION("""COMPUTED_VALUE"""),"32 Ю-ЗАП")</f>
        <v>32 Ю-ЗАП</v>
      </c>
      <c r="AC43" t="str">
        <f ca="1">IFERROR(__xludf.DUMMYFUNCTION("""COMPUTED_VALUE"""),"33000 ЖМЕРИНКА")</f>
        <v>33000 ЖМЕРИНКА</v>
      </c>
      <c r="AD43" t="str">
        <f ca="1">IFERROR(__xludf.DUMMYFUNCTION("""COMPUTED_VALUE"""),"01.01.21 14-06")</f>
        <v>01.01.21 14-06</v>
      </c>
      <c r="AE43" t="str">
        <f ca="1">IFERROR(__xludf.DUMMYFUNCTION("""COMPUTED_VALUE"""),"570 ИCТEК КAЛЕНДАРНЫЙ CPOК ДEПOВCКОГО PEМOНТA")</f>
        <v>570 ИCТEК КAЛЕНДАРНЫЙ CPOК ДEПOВCКОГО PEМOНТA</v>
      </c>
      <c r="AF43" t="str">
        <f ca="1">IFERROR(__xludf.DUMMYFUNCTION("""COMPUTED_VALUE"""),"32 Ю-ЗАП")</f>
        <v>32 Ю-ЗАП</v>
      </c>
      <c r="AG43" t="str">
        <f ca="1">IFERROR(__xludf.DUMMYFUNCTION("""COMPUTED_VALUE"""),"33000 ЖМЕРИНКА")</f>
        <v>33000 ЖМЕРИНКА</v>
      </c>
      <c r="AH43" t="str">
        <f ca="1">IFERROR(__xludf.DUMMYFUNCTION("""COMPUTED_VALUE"""),"17.01.21 13-35")</f>
        <v>17.01.21 13-35</v>
      </c>
      <c r="AI43" s="21">
        <f ca="1">IFERROR(__xludf.DUMMYFUNCTION("""COMPUTED_VALUE"""),44420.3576504629)</f>
        <v>44420.357650462902</v>
      </c>
    </row>
    <row r="44" spans="1:35" ht="15.75" customHeight="1" x14ac:dyDescent="0.15">
      <c r="A44">
        <f ca="1">IFERROR(__xludf.DUMMYFUNCTION("""COMPUTED_VALUE"""),123)</f>
        <v>123</v>
      </c>
      <c r="B44" t="str">
        <f ca="1">IFERROR(__xludf.DUMMYFUNCTION("""COMPUTED_VALUE"""),"Кнауф")</f>
        <v>Кнауф</v>
      </c>
      <c r="C44" t="str">
        <f ca="1">IFERROR(__xludf.DUMMYFUNCTION("""COMPUTED_VALUE"""),"Сидрейл")</f>
        <v>Сидрейл</v>
      </c>
      <c r="D44">
        <f ca="1">IFERROR(__xludf.DUMMYFUNCTION("""COMPUTED_VALUE"""),24373557)</f>
        <v>24373557</v>
      </c>
      <c r="E44" t="str">
        <f ca="1">IFERROR(__xludf.DUMMYFUNCTION("""COMPUTED_VALUE"""),"20 КРЫТЫЕ")</f>
        <v>20 КРЫТЫЕ</v>
      </c>
      <c r="F44">
        <f ca="1">IFERROR(__xludf.DUMMYFUNCTION("""COMPUTED_VALUE"""),23304)</f>
        <v>23304</v>
      </c>
      <c r="G44" t="str">
        <f ca="1">IFERROR(__xludf.DUMMYFUNCTION("""COMPUTED_VALUE"""),"ГИПС ПР")</f>
        <v>ГИПС ПР</v>
      </c>
      <c r="H44">
        <f ca="1">IFERROR(__xludf.DUMMYFUNCTION("""COMPUTED_VALUE"""),66)</f>
        <v>66</v>
      </c>
      <c r="I44">
        <f ca="1">IFERROR(__xludf.DUMMYFUNCTION("""COMPUTED_VALUE"""),4779)</f>
        <v>4779</v>
      </c>
      <c r="J44" t="str">
        <f ca="1">IFERROR(__xludf.DUMMYFUNCTION("""COMPUTED_VALUE"""),"2223 (44020-103-37040) ОСНОВА - КЛЕПАРОВ")</f>
        <v>2223 (44020-103-37040) ОСНОВА - КЛЕПАРОВ</v>
      </c>
      <c r="K44">
        <f ca="1">IFERROR(__xludf.DUMMYFUNCTION("""COMPUTED_VALUE"""),37040)</f>
        <v>37040</v>
      </c>
      <c r="L44" t="str">
        <f ca="1">IFERROR(__xludf.DUMMYFUNCTION("""COMPUTED_VALUE"""),"КЛЕПАРОВ")</f>
        <v>КЛЕПАРОВ</v>
      </c>
      <c r="M44" t="str">
        <f ca="1">IFERROR(__xludf.DUMMYFUNCTION("""COMPUTED_VALUE"""),"12.08.21 06-19")</f>
        <v>12.08.21 06-19</v>
      </c>
      <c r="N44" t="str">
        <f ca="1">IFERROR(__xludf.DUMMYFUNCTION("""COMPUTED_VALUE"""),"04 РАСФ")</f>
        <v>04 РАСФ</v>
      </c>
      <c r="O44">
        <f ca="1">IFERROR(__xludf.DUMMYFUNCTION("""COMPUTED_VALUE"""),36820)</f>
        <v>36820</v>
      </c>
      <c r="P44" t="str">
        <f ca="1">IFERROR(__xludf.DUMMYFUNCTION("""COMPUTED_VALUE"""),"ЧЕРНОВЦЫ-ЮЖН")</f>
        <v>ЧЕРНОВЦЫ-ЮЖН</v>
      </c>
      <c r="Q44">
        <f ca="1">IFERROR(__xludf.DUMMYFUNCTION("""COMPUTED_VALUE"""),49620)</f>
        <v>49620</v>
      </c>
      <c r="R44" t="str">
        <f ca="1">IFERROR(__xludf.DUMMYFUNCTION("""COMPUTED_VALUE"""),"ДЕКОНСКАЯ")</f>
        <v>ДЕКОНСКАЯ</v>
      </c>
      <c r="S44" t="str">
        <f ca="1">IFERROR(__xludf.DUMMYFUNCTION("""COMPUTED_VALUE"""),"06.08.21 09-00")</f>
        <v>06.08.21 09-00</v>
      </c>
      <c r="T44">
        <f ca="1">IFERROR(__xludf.DUMMYFUNCTION("""COMPUTED_VALUE"""),4149)</f>
        <v>4149</v>
      </c>
      <c r="U44" t="str">
        <f ca="1">IFERROR(__xludf.DUMMYFUNCTION("""COMPUTED_VALUE"""),"22.01.2024 ДР")</f>
        <v>22.01.2024 ДР</v>
      </c>
      <c r="Z44" t="str">
        <f ca="1">IFERROR(__xludf.DUMMYFUNCTION("""COMPUTED_VALUE"""),"ООО «УКРТРАНСЛОДЖИСТИК»")</f>
        <v>ООО «УКРТРАНСЛОДЖИСТИК»</v>
      </c>
      <c r="AA44" t="str">
        <f ca="1">IFERROR(__xludf.DUMMYFUNCTION("""COMPUTED_VALUE"""),"11-217")</f>
        <v>11-217</v>
      </c>
      <c r="AB44" t="str">
        <f ca="1">IFERROR(__xludf.DUMMYFUNCTION("""COMPUTED_VALUE"""),"32 Ю-ЗАП")</f>
        <v>32 Ю-ЗАП</v>
      </c>
      <c r="AC44" t="str">
        <f ca="1">IFERROR(__xludf.DUMMYFUNCTION("""COMPUTED_VALUE"""),"33000 ЖМЕРИНКА")</f>
        <v>33000 ЖМЕРИНКА</v>
      </c>
      <c r="AD44" t="str">
        <f ca="1">IFERROR(__xludf.DUMMYFUNCTION("""COMPUTED_VALUE"""),"01.01.21 14-06")</f>
        <v>01.01.21 14-06</v>
      </c>
      <c r="AE44" t="str">
        <f ca="1">IFERROR(__xludf.DUMMYFUNCTION("""COMPUTED_VALUE"""),"570 ИCТEК КAЛЕНДАРНЫЙ CPOК ДEПOВCКОГО PEМOНТA")</f>
        <v>570 ИCТEК КAЛЕНДАРНЫЙ CPOК ДEПOВCКОГО PEМOНТA</v>
      </c>
      <c r="AF44" t="str">
        <f ca="1">IFERROR(__xludf.DUMMYFUNCTION("""COMPUTED_VALUE"""),"32 Ю-ЗАП")</f>
        <v>32 Ю-ЗАП</v>
      </c>
      <c r="AG44" t="str">
        <f ca="1">IFERROR(__xludf.DUMMYFUNCTION("""COMPUTED_VALUE"""),"33000 ЖМЕРИНКА")</f>
        <v>33000 ЖМЕРИНКА</v>
      </c>
      <c r="AH44" t="str">
        <f ca="1">IFERROR(__xludf.DUMMYFUNCTION("""COMPUTED_VALUE"""),"22.01.21 15-22")</f>
        <v>22.01.21 15-22</v>
      </c>
      <c r="AI44" s="21">
        <f ca="1">IFERROR(__xludf.DUMMYFUNCTION("""COMPUTED_VALUE"""),44420.3576504629)</f>
        <v>44420.357650462902</v>
      </c>
    </row>
    <row r="45" spans="1:35" ht="15.75" customHeight="1" x14ac:dyDescent="0.15">
      <c r="A45">
        <f ca="1">IFERROR(__xludf.DUMMYFUNCTION("""COMPUTED_VALUE"""),124)</f>
        <v>124</v>
      </c>
      <c r="B45" t="str">
        <f ca="1">IFERROR(__xludf.DUMMYFUNCTION("""COMPUTED_VALUE"""),"Кнауф")</f>
        <v>Кнауф</v>
      </c>
      <c r="C45" t="str">
        <f ca="1">IFERROR(__xludf.DUMMYFUNCTION("""COMPUTED_VALUE"""),"Сидрейл")</f>
        <v>Сидрейл</v>
      </c>
      <c r="D45">
        <f ca="1">IFERROR(__xludf.DUMMYFUNCTION("""COMPUTED_VALUE"""),24404022)</f>
        <v>24404022</v>
      </c>
      <c r="E45" t="str">
        <f ca="1">IFERROR(__xludf.DUMMYFUNCTION("""COMPUTED_VALUE"""),"20 КРЫТЫЕ")</f>
        <v>20 КРЫТЫЕ</v>
      </c>
      <c r="F45">
        <f ca="1">IFERROR(__xludf.DUMMYFUNCTION("""COMPUTED_VALUE"""),42103)</f>
        <v>42103</v>
      </c>
      <c r="G45" t="str">
        <f ca="1">IFERROR(__xludf.DUMMYFUNCTION("""COMPUTED_VALUE"""),"ВАГОНЫ ЖД СВ")</f>
        <v>ВАГОНЫ ЖД СВ</v>
      </c>
      <c r="H45">
        <f ca="1">IFERROR(__xludf.DUMMYFUNCTION("""COMPUTED_VALUE"""),0)</f>
        <v>0</v>
      </c>
      <c r="I45">
        <f ca="1">IFERROR(__xludf.DUMMYFUNCTION("""COMPUTED_VALUE"""),8199)</f>
        <v>8199</v>
      </c>
      <c r="J45" t="str">
        <f ca="1">IFERROR(__xludf.DUMMYFUNCTION("""COMPUTED_VALUE"""),"2001 (37040-259-38830) КЛЕПАРОВ - ЯМНИЦА")</f>
        <v>2001 (37040-259-38830) КЛЕПАРОВ - ЯМНИЦА</v>
      </c>
      <c r="K45">
        <f ca="1">IFERROR(__xludf.DUMMYFUNCTION("""COMPUTED_VALUE"""),38830)</f>
        <v>38830</v>
      </c>
      <c r="L45" t="str">
        <f ca="1">IFERROR(__xludf.DUMMYFUNCTION("""COMPUTED_VALUE"""),"ЯМНИЦА")</f>
        <v>ЯМНИЦА</v>
      </c>
      <c r="M45" t="str">
        <f ca="1">IFERROR(__xludf.DUMMYFUNCTION("""COMPUTED_VALUE"""),"11.08.21 06-00")</f>
        <v>11.08.21 06-00</v>
      </c>
      <c r="N45" t="str">
        <f ca="1">IFERROR(__xludf.DUMMYFUNCTION("""COMPUTED_VALUE"""),"98 ОТОТ")</f>
        <v>98 ОТОТ</v>
      </c>
      <c r="O45">
        <f ca="1">IFERROR(__xludf.DUMMYFUNCTION("""COMPUTED_VALUE"""),38830)</f>
        <v>38830</v>
      </c>
      <c r="P45" t="str">
        <f ca="1">IFERROR(__xludf.DUMMYFUNCTION("""COMPUTED_VALUE"""),"ЯМНИЦА")</f>
        <v>ЯМНИЦА</v>
      </c>
      <c r="Q45">
        <f ca="1">IFERROR(__xludf.DUMMYFUNCTION("""COMPUTED_VALUE"""),35660)</f>
        <v>35660</v>
      </c>
      <c r="R45" t="str">
        <f ca="1">IFERROR(__xludf.DUMMYFUNCTION("""COMPUTED_VALUE"""),"РОВНО")</f>
        <v>РОВНО</v>
      </c>
      <c r="S45" t="str">
        <f ca="1">IFERROR(__xludf.DUMMYFUNCTION("""COMPUTED_VALUE"""),"31.07.21 17-20")</f>
        <v>31.07.21 17-20</v>
      </c>
      <c r="T45">
        <f ca="1">IFERROR(__xludf.DUMMYFUNCTION("""COMPUTED_VALUE"""),8200)</f>
        <v>8200</v>
      </c>
      <c r="U45" t="str">
        <f ca="1">IFERROR(__xludf.DUMMYFUNCTION("""COMPUTED_VALUE"""),"19.01.2024 ДР")</f>
        <v>19.01.2024 ДР</v>
      </c>
      <c r="Z45" t="str">
        <f ca="1">IFERROR(__xludf.DUMMYFUNCTION("""COMPUTED_VALUE"""),"ООО «УКРТРАНСЛОДЖИСТИК»")</f>
        <v>ООО «УКРТРАНСЛОДЖИСТИК»</v>
      </c>
      <c r="AA45" t="str">
        <f ca="1">IFERROR(__xludf.DUMMYFUNCTION("""COMPUTED_VALUE"""),"11-217")</f>
        <v>11-217</v>
      </c>
      <c r="AB45" t="str">
        <f ca="1">IFERROR(__xludf.DUMMYFUNCTION("""COMPUTED_VALUE"""),"32 Ю-ЗАП")</f>
        <v>32 Ю-ЗАП</v>
      </c>
      <c r="AC45" t="str">
        <f ca="1">IFERROR(__xludf.DUMMYFUNCTION("""COMPUTED_VALUE"""),"33000 ЖМЕРИНКА")</f>
        <v>33000 ЖМЕРИНКА</v>
      </c>
      <c r="AD45" t="str">
        <f ca="1">IFERROR(__xludf.DUMMYFUNCTION("""COMPUTED_VALUE"""),"08.01.21 11-14")</f>
        <v>08.01.21 11-14</v>
      </c>
      <c r="AE45" t="str">
        <f ca="1">IFERROR(__xludf.DUMMYFUNCTION("""COMPUTED_VALUE"""),"570 ИCТEК КAЛЕНДАРНЫЙ CPOК ДEПOВCКОГО PEМOНТA")</f>
        <v>570 ИCТEК КAЛЕНДАРНЫЙ CPOК ДEПOВCКОГО PEМOНТA</v>
      </c>
      <c r="AF45" t="str">
        <f ca="1">IFERROR(__xludf.DUMMYFUNCTION("""COMPUTED_VALUE"""),"32 Ю-ЗАП")</f>
        <v>32 Ю-ЗАП</v>
      </c>
      <c r="AG45" t="str">
        <f ca="1">IFERROR(__xludf.DUMMYFUNCTION("""COMPUTED_VALUE"""),"33000 ЖМЕРИНКА")</f>
        <v>33000 ЖМЕРИНКА</v>
      </c>
      <c r="AH45" t="str">
        <f ca="1">IFERROR(__xludf.DUMMYFUNCTION("""COMPUTED_VALUE"""),"19.01.21 15-22")</f>
        <v>19.01.21 15-22</v>
      </c>
      <c r="AI45" s="21">
        <f ca="1">IFERROR(__xludf.DUMMYFUNCTION("""COMPUTED_VALUE"""),44420.3576504629)</f>
        <v>44420.357650462902</v>
      </c>
    </row>
    <row r="46" spans="1:35" ht="15.75" customHeight="1" x14ac:dyDescent="0.15">
      <c r="A46">
        <f ca="1">IFERROR(__xludf.DUMMYFUNCTION("""COMPUTED_VALUE"""),125)</f>
        <v>125</v>
      </c>
      <c r="B46" t="str">
        <f ca="1">IFERROR(__xludf.DUMMYFUNCTION("""COMPUTED_VALUE"""),"Руссоль")</f>
        <v>Руссоль</v>
      </c>
      <c r="C46" t="str">
        <f ca="1">IFERROR(__xludf.DUMMYFUNCTION("""COMPUTED_VALUE"""),"Сидрейл")</f>
        <v>Сидрейл</v>
      </c>
      <c r="D46">
        <f ca="1">IFERROR(__xludf.DUMMYFUNCTION("""COMPUTED_VALUE"""),24331100)</f>
        <v>24331100</v>
      </c>
      <c r="E46" t="str">
        <f ca="1">IFERROR(__xludf.DUMMYFUNCTION("""COMPUTED_VALUE"""),"20 КРЫТЫЕ")</f>
        <v>20 КРЫТЫЕ</v>
      </c>
      <c r="F46">
        <f ca="1">IFERROR(__xludf.DUMMYFUNCTION("""COMPUTED_VALUE"""),42103)</f>
        <v>42103</v>
      </c>
      <c r="G46" t="str">
        <f ca="1">IFERROR(__xludf.DUMMYFUNCTION("""COMPUTED_VALUE"""),"ВАГОНЫ ЖД СВ")</f>
        <v>ВАГОНЫ ЖД СВ</v>
      </c>
      <c r="H46">
        <f ca="1">IFERROR(__xludf.DUMMYFUNCTION("""COMPUTED_VALUE"""),0)</f>
        <v>0</v>
      </c>
      <c r="I46">
        <f ca="1">IFERROR(__xludf.DUMMYFUNCTION("""COMPUTED_VALUE"""),8199)</f>
        <v>8199</v>
      </c>
      <c r="J46" t="str">
        <f ca="1">IFERROR(__xludf.DUMMYFUNCTION("""COMPUTED_VALUE"""),"5555 (32000-600-00080) ДАРНИЦА -")</f>
        <v>5555 (32000-600-00080) ДАРНИЦА -</v>
      </c>
      <c r="K46">
        <f ca="1">IFERROR(__xludf.DUMMYFUNCTION("""COMPUTED_VALUE"""),32000)</f>
        <v>32000</v>
      </c>
      <c r="L46" t="str">
        <f ca="1">IFERROR(__xludf.DUMMYFUNCTION("""COMPUTED_VALUE"""),"ДАРНИЦА")</f>
        <v>ДАРНИЦА</v>
      </c>
      <c r="M46" t="str">
        <f ca="1">IFERROR(__xludf.DUMMYFUNCTION("""COMPUTED_VALUE"""),"12.08.21 03-37")</f>
        <v>12.08.21 03-37</v>
      </c>
      <c r="N46" t="str">
        <f ca="1">IFERROR(__xludf.DUMMYFUNCTION("""COMPUTED_VALUE"""),"05 ФОРМ")</f>
        <v>05 ФОРМ</v>
      </c>
      <c r="O46">
        <f ca="1">IFERROR(__xludf.DUMMYFUNCTION("""COMPUTED_VALUE"""),38830)</f>
        <v>38830</v>
      </c>
      <c r="P46" t="str">
        <f ca="1">IFERROR(__xludf.DUMMYFUNCTION("""COMPUTED_VALUE"""),"ЯМНИЦА")</f>
        <v>ЯМНИЦА</v>
      </c>
      <c r="Q46">
        <f ca="1">IFERROR(__xludf.DUMMYFUNCTION("""COMPUTED_VALUE"""),32040)</f>
        <v>32040</v>
      </c>
      <c r="R46" t="str">
        <f ca="1">IFERROR(__xludf.DUMMYFUNCTION("""COMPUTED_VALUE"""),"ГРУШКИ")</f>
        <v>ГРУШКИ</v>
      </c>
      <c r="S46" t="str">
        <f ca="1">IFERROR(__xludf.DUMMYFUNCTION("""COMPUTED_VALUE"""),"04.08.21 18-20")</f>
        <v>04.08.21 18-20</v>
      </c>
      <c r="T46">
        <f ca="1">IFERROR(__xludf.DUMMYFUNCTION("""COMPUTED_VALUE"""),8200)</f>
        <v>8200</v>
      </c>
      <c r="U46" t="str">
        <f ca="1">IFERROR(__xludf.DUMMYFUNCTION("""COMPUTED_VALUE"""),"19.01.2024 ДР")</f>
        <v>19.01.2024 ДР</v>
      </c>
      <c r="Z46" t="str">
        <f ca="1">IFERROR(__xludf.DUMMYFUNCTION("""COMPUTED_VALUE"""),"ООО «УКРТРАНСЛОДЖИСТИК»")</f>
        <v>ООО «УКРТРАНСЛОДЖИСТИК»</v>
      </c>
      <c r="AA46" t="str">
        <f ca="1">IFERROR(__xludf.DUMMYFUNCTION("""COMPUTED_VALUE"""),"11-270")</f>
        <v>11-270</v>
      </c>
      <c r="AB46" t="str">
        <f ca="1">IFERROR(__xludf.DUMMYFUNCTION("""COMPUTED_VALUE"""),"32 Ю-ЗАП")</f>
        <v>32 Ю-ЗАП</v>
      </c>
      <c r="AC46" t="str">
        <f ca="1">IFERROR(__xludf.DUMMYFUNCTION("""COMPUTED_VALUE"""),"33000 ЖМЕРИНКА")</f>
        <v>33000 ЖМЕРИНКА</v>
      </c>
      <c r="AD46" t="str">
        <f ca="1">IFERROR(__xludf.DUMMYFUNCTION("""COMPUTED_VALUE"""),"02.01.21 11-57")</f>
        <v>02.01.21 11-57</v>
      </c>
      <c r="AE46" t="str">
        <f ca="1">IFERROR(__xludf.DUMMYFUNCTION("""COMPUTED_VALUE"""),"570 ИCТEК КAЛЕНДАРНЫЙ CPOК ДEПOВCКОГО PEМOНТA")</f>
        <v>570 ИCТEК КAЛЕНДАРНЫЙ CPOК ДEПOВCКОГО PEМOНТA</v>
      </c>
      <c r="AF46" t="str">
        <f ca="1">IFERROR(__xludf.DUMMYFUNCTION("""COMPUTED_VALUE"""),"32 Ю-ЗАП")</f>
        <v>32 Ю-ЗАП</v>
      </c>
      <c r="AG46" t="str">
        <f ca="1">IFERROR(__xludf.DUMMYFUNCTION("""COMPUTED_VALUE"""),"33000 ЖМЕРИНКА")</f>
        <v>33000 ЖМЕРИНКА</v>
      </c>
      <c r="AH46" t="str">
        <f ca="1">IFERROR(__xludf.DUMMYFUNCTION("""COMPUTED_VALUE"""),"19.01.21 15-04")</f>
        <v>19.01.21 15-04</v>
      </c>
      <c r="AI46" s="21">
        <f ca="1">IFERROR(__xludf.DUMMYFUNCTION("""COMPUTED_VALUE"""),44420.3576504629)</f>
        <v>44420.357650462902</v>
      </c>
    </row>
    <row r="47" spans="1:35" ht="15.75" customHeight="1" x14ac:dyDescent="0.15">
      <c r="A47">
        <f ca="1">IFERROR(__xludf.DUMMYFUNCTION("""COMPUTED_VALUE"""),126)</f>
        <v>126</v>
      </c>
      <c r="B47" t="str">
        <f ca="1">IFERROR(__xludf.DUMMYFUNCTION("""COMPUTED_VALUE"""),"Костанза")</f>
        <v>Костанза</v>
      </c>
      <c r="C47" t="str">
        <f ca="1">IFERROR(__xludf.DUMMYFUNCTION("""COMPUTED_VALUE"""),"Сидрейл")</f>
        <v>Сидрейл</v>
      </c>
      <c r="D47">
        <f ca="1">IFERROR(__xludf.DUMMYFUNCTION("""COMPUTED_VALUE"""),23996630)</f>
        <v>23996630</v>
      </c>
      <c r="E47" t="str">
        <f ca="1">IFERROR(__xludf.DUMMYFUNCTION("""COMPUTED_VALUE"""),"20 КРЫТЫЕ")</f>
        <v>20 КРЫТЫЕ</v>
      </c>
      <c r="F47">
        <f ca="1">IFERROR(__xludf.DUMMYFUNCTION("""COMPUTED_VALUE"""),42103)</f>
        <v>42103</v>
      </c>
      <c r="G47" t="str">
        <f ca="1">IFERROR(__xludf.DUMMYFUNCTION("""COMPUTED_VALUE"""),"ВАГОНЫ ЖД СВ")</f>
        <v>ВАГОНЫ ЖД СВ</v>
      </c>
      <c r="H47">
        <f ca="1">IFERROR(__xludf.DUMMYFUNCTION("""COMPUTED_VALUE"""),0)</f>
        <v>0</v>
      </c>
      <c r="I47">
        <f ca="1">IFERROR(__xludf.DUMMYFUNCTION("""COMPUTED_VALUE"""),8199)</f>
        <v>8199</v>
      </c>
      <c r="J47" t="str">
        <f ca="1">IFERROR(__xludf.DUMMYFUNCTION("""COMPUTED_VALUE"""),"2001 (37040-305-38830) КЛЕПАРОВ - ЯМНИЦА")</f>
        <v>2001 (37040-305-38830) КЛЕПАРОВ - ЯМНИЦА</v>
      </c>
      <c r="K47">
        <f ca="1">IFERROR(__xludf.DUMMYFUNCTION("""COMPUTED_VALUE"""),38830)</f>
        <v>38830</v>
      </c>
      <c r="L47" t="str">
        <f ca="1">IFERROR(__xludf.DUMMYFUNCTION("""COMPUTED_VALUE"""),"ЯМНИЦА")</f>
        <v>ЯМНИЦА</v>
      </c>
      <c r="M47" t="str">
        <f ca="1">IFERROR(__xludf.DUMMYFUNCTION("""COMPUTED_VALUE"""),"12.08.21 00-40")</f>
        <v>12.08.21 00-40</v>
      </c>
      <c r="N47" t="str">
        <f ca="1">IFERROR(__xludf.DUMMYFUNCTION("""COMPUTED_VALUE"""),"98 ОТОТ")</f>
        <v>98 ОТОТ</v>
      </c>
      <c r="O47">
        <f ca="1">IFERROR(__xludf.DUMMYFUNCTION("""COMPUTED_VALUE"""),38830)</f>
        <v>38830</v>
      </c>
      <c r="P47" t="str">
        <f ca="1">IFERROR(__xludf.DUMMYFUNCTION("""COMPUTED_VALUE"""),"ЯМНИЦА")</f>
        <v>ЯМНИЦА</v>
      </c>
      <c r="Q47">
        <f ca="1">IFERROR(__xludf.DUMMYFUNCTION("""COMPUTED_VALUE"""),36000)</f>
        <v>36000</v>
      </c>
      <c r="R47" t="str">
        <f ca="1">IFERROR(__xludf.DUMMYFUNCTION("""COMPUTED_VALUE"""),"ТЕРНОПОЛЬ")</f>
        <v>ТЕРНОПОЛЬ</v>
      </c>
      <c r="S47" t="str">
        <f ca="1">IFERROR(__xludf.DUMMYFUNCTION("""COMPUTED_VALUE"""),"23.07.21 10-00")</f>
        <v>23.07.21 10-00</v>
      </c>
      <c r="T47">
        <f ca="1">IFERROR(__xludf.DUMMYFUNCTION("""COMPUTED_VALUE"""),8200)</f>
        <v>8200</v>
      </c>
      <c r="U47" t="str">
        <f ca="1">IFERROR(__xludf.DUMMYFUNCTION("""COMPUTED_VALUE"""),"24.01.2024 ТР-1")</f>
        <v>24.01.2024 ТР-1</v>
      </c>
      <c r="Z47" t="str">
        <f ca="1">IFERROR(__xludf.DUMMYFUNCTION("""COMPUTED_VALUE"""),"ООО «УКРТРАНСЛОДЖИСТИК»")</f>
        <v>ООО «УКРТРАНСЛОДЖИСТИК»</v>
      </c>
      <c r="AA47" t="str">
        <f ca="1">IFERROR(__xludf.DUMMYFUNCTION("""COMPUTED_VALUE"""),"11-066-05")</f>
        <v>11-066-05</v>
      </c>
      <c r="AB47" t="str">
        <f ca="1">IFERROR(__xludf.DUMMYFUNCTION("""COMPUTED_VALUE"""),"32 Ю-ЗАП")</f>
        <v>32 Ю-ЗАП</v>
      </c>
      <c r="AC47" t="str">
        <f ca="1">IFERROR(__xludf.DUMMYFUNCTION("""COMPUTED_VALUE"""),"33000 ЖМЕРИНКА")</f>
        <v>33000 ЖМЕРИНКА</v>
      </c>
      <c r="AD47" t="str">
        <f ca="1">IFERROR(__xludf.DUMMYFUNCTION("""COMPUTED_VALUE"""),"14.02.21 11-30")</f>
        <v>14.02.21 11-30</v>
      </c>
      <c r="AE47" t="str">
        <f ca="1">IFERROR(__xludf.DUMMYFUNCTION("""COMPUTED_VALUE"""),"570 ИCТEК КAЛЕНДАРНЫЙ CPOК ДEПOВCКОГО PEМOНТA")</f>
        <v>570 ИCТEК КAЛЕНДАРНЫЙ CPOК ДEПOВCКОГО PEМOНТA</v>
      </c>
      <c r="AF47" t="str">
        <f ca="1">IFERROR(__xludf.DUMMYFUNCTION("""COMPUTED_VALUE"""),"32 Ю-ЗАП")</f>
        <v>32 Ю-ЗАП</v>
      </c>
      <c r="AG47" t="str">
        <f ca="1">IFERROR(__xludf.DUMMYFUNCTION("""COMPUTED_VALUE"""),"33000 ЖМЕРИНКА")</f>
        <v>33000 ЖМЕРИНКА</v>
      </c>
      <c r="AH47" t="str">
        <f ca="1">IFERROR(__xludf.DUMMYFUNCTION("""COMPUTED_VALUE"""),"22.02.21 14-35")</f>
        <v>22.02.21 14-35</v>
      </c>
      <c r="AI47" s="21">
        <f ca="1">IFERROR(__xludf.DUMMYFUNCTION("""COMPUTED_VALUE"""),44420.3576504629)</f>
        <v>44420.357650462902</v>
      </c>
    </row>
    <row r="48" spans="1:35" ht="15.75" customHeight="1" x14ac:dyDescent="0.15">
      <c r="A48">
        <f ca="1">IFERROR(__xludf.DUMMYFUNCTION("""COMPUTED_VALUE"""),127)</f>
        <v>127</v>
      </c>
      <c r="B48" t="str">
        <f ca="1">IFERROR(__xludf.DUMMYFUNCTION("""COMPUTED_VALUE"""),"ТЛГ")</f>
        <v>ТЛГ</v>
      </c>
      <c r="C48" t="str">
        <f ca="1">IFERROR(__xludf.DUMMYFUNCTION("""COMPUTED_VALUE"""),"Сидрейл")</f>
        <v>Сидрейл</v>
      </c>
      <c r="D48">
        <f ca="1">IFERROR(__xludf.DUMMYFUNCTION("""COMPUTED_VALUE"""),23998354)</f>
        <v>23998354</v>
      </c>
      <c r="E48" t="str">
        <f ca="1">IFERROR(__xludf.DUMMYFUNCTION("""COMPUTED_VALUE"""),"20 КРЫТЫЕ")</f>
        <v>20 КРЫТЫЕ</v>
      </c>
      <c r="F48">
        <f ca="1">IFERROR(__xludf.DUMMYFUNCTION("""COMPUTED_VALUE"""),42116)</f>
        <v>42116</v>
      </c>
      <c r="G48" t="str">
        <f ca="1">IFERROR(__xludf.DUMMYFUNCTION("""COMPUTED_VALUE"""),"ВАГОН ДЛЯ ПРОВО")</f>
        <v>ВАГОН ДЛЯ ПРОВО</v>
      </c>
      <c r="H48">
        <f ca="1">IFERROR(__xludf.DUMMYFUNCTION("""COMPUTED_VALUE"""),1)</f>
        <v>1</v>
      </c>
      <c r="I48">
        <f ca="1">IFERROR(__xludf.DUMMYFUNCTION("""COMPUTED_VALUE"""),3134)</f>
        <v>3134</v>
      </c>
      <c r="J48" t="str">
        <f ca="1">IFERROR(__xludf.DUMMYFUNCTION("""COMPUTED_VALUE"""),"3103 (48620-030-48560) ВОЛНОВАХА - МАРИУП-СОРТ")</f>
        <v>3103 (48620-030-48560) ВОЛНОВАХА - МАРИУП-СОРТ</v>
      </c>
      <c r="K48">
        <f ca="1">IFERROR(__xludf.DUMMYFUNCTION("""COMPUTED_VALUE"""),48560)</f>
        <v>48560</v>
      </c>
      <c r="L48" t="str">
        <f ca="1">IFERROR(__xludf.DUMMYFUNCTION("""COMPUTED_VALUE"""),"МАРИУП-СОРТ")</f>
        <v>МАРИУП-СОРТ</v>
      </c>
      <c r="M48" t="str">
        <f ca="1">IFERROR(__xludf.DUMMYFUNCTION("""COMPUTED_VALUE"""),"04.08.21 15-48")</f>
        <v>04.08.21 15-48</v>
      </c>
      <c r="N48" t="str">
        <f ca="1">IFERROR(__xludf.DUMMYFUNCTION("""COMPUTED_VALUE"""),"49 ОСВО")</f>
        <v>49 ОСВО</v>
      </c>
      <c r="O48">
        <f ca="1">IFERROR(__xludf.DUMMYFUNCTION("""COMPUTED_VALUE"""),48560)</f>
        <v>48560</v>
      </c>
      <c r="P48" t="str">
        <f ca="1">IFERROR(__xludf.DUMMYFUNCTION("""COMPUTED_VALUE"""),"МАРИУП-СОРТ")</f>
        <v>МАРИУП-СОРТ</v>
      </c>
      <c r="Q48">
        <f ca="1">IFERROR(__xludf.DUMMYFUNCTION("""COMPUTED_VALUE"""),46000)</f>
        <v>46000</v>
      </c>
      <c r="R48" t="str">
        <f ca="1">IFERROR(__xludf.DUMMYFUNCTION("""COMPUTED_VALUE"""),"ЗАПОРОЖ-ЛЕВ")</f>
        <v>ЗАПОРОЖ-ЛЕВ</v>
      </c>
      <c r="S48" t="str">
        <f ca="1">IFERROR(__xludf.DUMMYFUNCTION("""COMPUTED_VALUE"""),"31.07.21 00-01")</f>
        <v>31.07.21 00-01</v>
      </c>
      <c r="T48">
        <f ca="1">IFERROR(__xludf.DUMMYFUNCTION("""COMPUTED_VALUE"""),3209)</f>
        <v>3209</v>
      </c>
      <c r="U48" t="str">
        <f ca="1">IFERROR(__xludf.DUMMYFUNCTION("""COMPUTED_VALUE"""),"24.01.2024 ТР-1")</f>
        <v>24.01.2024 ТР-1</v>
      </c>
      <c r="Z48" t="str">
        <f ca="1">IFERROR(__xludf.DUMMYFUNCTION("""COMPUTED_VALUE"""),"ООО «УКРТРАНСЛОДЖИСТИК»")</f>
        <v>ООО «УКРТРАНСЛОДЖИСТИК»</v>
      </c>
      <c r="AA48" t="str">
        <f ca="1">IFERROR(__xludf.DUMMYFUNCTION("""COMPUTED_VALUE"""),"11-066-05")</f>
        <v>11-066-05</v>
      </c>
      <c r="AB48" t="str">
        <f ca="1">IFERROR(__xludf.DUMMYFUNCTION("""COMPUTED_VALUE"""),"32 Ю-ЗАП")</f>
        <v>32 Ю-ЗАП</v>
      </c>
      <c r="AC48" t="str">
        <f ca="1">IFERROR(__xludf.DUMMYFUNCTION("""COMPUTED_VALUE"""),"33000 ЖМЕРИНКА")</f>
        <v>33000 ЖМЕРИНКА</v>
      </c>
      <c r="AD48" t="str">
        <f ca="1">IFERROR(__xludf.DUMMYFUNCTION("""COMPUTED_VALUE"""),"14.02.21 08-31")</f>
        <v>14.02.21 08-31</v>
      </c>
      <c r="AE48" t="str">
        <f ca="1">IFERROR(__xludf.DUMMYFUNCTION("""COMPUTED_VALUE"""),"570 ИCТEК КAЛЕНДАРНЫЙ CPOК ДEПOВCКОГО PEМOНТA")</f>
        <v>570 ИCТEК КAЛЕНДАРНЫЙ CPOК ДEПOВCКОГО PEМOНТA</v>
      </c>
      <c r="AF48" t="str">
        <f ca="1">IFERROR(__xludf.DUMMYFUNCTION("""COMPUTED_VALUE"""),"32 Ю-ЗАП")</f>
        <v>32 Ю-ЗАП</v>
      </c>
      <c r="AG48" t="str">
        <f ca="1">IFERROR(__xludf.DUMMYFUNCTION("""COMPUTED_VALUE"""),"33000 ЖМЕРИНКА")</f>
        <v>33000 ЖМЕРИНКА</v>
      </c>
      <c r="AH48" t="str">
        <f ca="1">IFERROR(__xludf.DUMMYFUNCTION("""COMPUTED_VALUE"""),"18.02.21 15-53")</f>
        <v>18.02.21 15-53</v>
      </c>
      <c r="AI48" s="21">
        <f ca="1">IFERROR(__xludf.DUMMYFUNCTION("""COMPUTED_VALUE"""),44420.3576504629)</f>
        <v>44420.357650462902</v>
      </c>
    </row>
    <row r="49" spans="1:35" ht="15.75" customHeight="1" x14ac:dyDescent="0.15">
      <c r="A49">
        <f ca="1">IFERROR(__xludf.DUMMYFUNCTION("""COMPUTED_VALUE"""),128)</f>
        <v>128</v>
      </c>
      <c r="B49" t="str">
        <f ca="1">IFERROR(__xludf.DUMMYFUNCTION("""COMPUTED_VALUE"""),"Кнауф")</f>
        <v>Кнауф</v>
      </c>
      <c r="C49" t="str">
        <f ca="1">IFERROR(__xludf.DUMMYFUNCTION("""COMPUTED_VALUE"""),"Сидрейл")</f>
        <v>Сидрейл</v>
      </c>
      <c r="D49">
        <f ca="1">IFERROR(__xludf.DUMMYFUNCTION("""COMPUTED_VALUE"""),24373441)</f>
        <v>24373441</v>
      </c>
      <c r="E49" t="str">
        <f ca="1">IFERROR(__xludf.DUMMYFUNCTION("""COMPUTED_VALUE"""),"20 КРЫТЫЕ")</f>
        <v>20 КРЫТЫЕ</v>
      </c>
      <c r="F49">
        <f ca="1">IFERROR(__xludf.DUMMYFUNCTION("""COMPUTED_VALUE"""),23304)</f>
        <v>23304</v>
      </c>
      <c r="G49" t="str">
        <f ca="1">IFERROR(__xludf.DUMMYFUNCTION("""COMPUTED_VALUE"""),"ГИПС ПР")</f>
        <v>ГИПС ПР</v>
      </c>
      <c r="H49">
        <f ca="1">IFERROR(__xludf.DUMMYFUNCTION("""COMPUTED_VALUE"""),68)</f>
        <v>68</v>
      </c>
      <c r="I49">
        <f ca="1">IFERROR(__xludf.DUMMYFUNCTION("""COMPUTED_VALUE"""),1658)</f>
        <v>1658</v>
      </c>
      <c r="J49" t="str">
        <f ca="1">IFERROR(__xludf.DUMMYFUNCTION("""COMPUTED_VALUE"""),"3510 (49460-045-49000) БАХМУТ - ЛИМАН")</f>
        <v>3510 (49460-045-49000) БАХМУТ - ЛИМАН</v>
      </c>
      <c r="K49">
        <f ca="1">IFERROR(__xludf.DUMMYFUNCTION("""COMPUTED_VALUE"""),49000)</f>
        <v>49000</v>
      </c>
      <c r="L49" t="str">
        <f ca="1">IFERROR(__xludf.DUMMYFUNCTION("""COMPUTED_VALUE"""),"ЛИМАН")</f>
        <v>ЛИМАН</v>
      </c>
      <c r="M49" t="str">
        <f ca="1">IFERROR(__xludf.DUMMYFUNCTION("""COMPUTED_VALUE"""),"11.08.21 18-19")</f>
        <v>11.08.21 18-19</v>
      </c>
      <c r="N49" t="str">
        <f ca="1">IFERROR(__xludf.DUMMYFUNCTION("""COMPUTED_VALUE"""),"04 РАСФ")</f>
        <v>04 РАСФ</v>
      </c>
      <c r="O49">
        <f ca="1">IFERROR(__xludf.DUMMYFUNCTION("""COMPUTED_VALUE"""),32060)</f>
        <v>32060</v>
      </c>
      <c r="P49" t="str">
        <f ca="1">IFERROR(__xludf.DUMMYFUNCTION("""COMPUTED_VALUE"""),"ПОЧАЙНА")</f>
        <v>ПОЧАЙНА</v>
      </c>
      <c r="Q49">
        <f ca="1">IFERROR(__xludf.DUMMYFUNCTION("""COMPUTED_VALUE"""),49620)</f>
        <v>49620</v>
      </c>
      <c r="R49" t="str">
        <f ca="1">IFERROR(__xludf.DUMMYFUNCTION("""COMPUTED_VALUE"""),"ДЕКОНСКАЯ")</f>
        <v>ДЕКОНСКАЯ</v>
      </c>
      <c r="S49" t="str">
        <f ca="1">IFERROR(__xludf.DUMMYFUNCTION("""COMPUTED_VALUE"""),"10.08.21 09-15")</f>
        <v>10.08.21 09-15</v>
      </c>
      <c r="T49">
        <f ca="1">IFERROR(__xludf.DUMMYFUNCTION("""COMPUTED_VALUE"""),4149)</f>
        <v>4149</v>
      </c>
      <c r="U49" t="str">
        <f ca="1">IFERROR(__xludf.DUMMYFUNCTION("""COMPUTED_VALUE"""),"24.01.2024 ТР-1")</f>
        <v>24.01.2024 ТР-1</v>
      </c>
      <c r="Z49" t="str">
        <f ca="1">IFERROR(__xludf.DUMMYFUNCTION("""COMPUTED_VALUE"""),"ООО «УКРТРАНСЛОДЖИСТИК»")</f>
        <v>ООО «УКРТРАНСЛОДЖИСТИК»</v>
      </c>
      <c r="AA49" t="str">
        <f ca="1">IFERROR(__xludf.DUMMYFUNCTION("""COMPUTED_VALUE"""),"11-270")</f>
        <v>11-270</v>
      </c>
      <c r="AB49" t="str">
        <f ca="1">IFERROR(__xludf.DUMMYFUNCTION("""COMPUTED_VALUE"""),"32 Ю-ЗАП")</f>
        <v>32 Ю-ЗАП</v>
      </c>
      <c r="AC49" t="str">
        <f ca="1">IFERROR(__xludf.DUMMYFUNCTION("""COMPUTED_VALUE"""),"33000 ЖМЕРИНКА")</f>
        <v>33000 ЖМЕРИНКА</v>
      </c>
      <c r="AD49" t="str">
        <f ca="1">IFERROR(__xludf.DUMMYFUNCTION("""COMPUTED_VALUE"""),"23.01.21 16-27")</f>
        <v>23.01.21 16-27</v>
      </c>
      <c r="AE49" t="str">
        <f ca="1">IFERROR(__xludf.DUMMYFUNCTION("""COMPUTED_VALUE"""),"570 ИCТEК КAЛЕНДАРНЫЙ CPOК ДEПOВCКОГО PEМOНТA")</f>
        <v>570 ИCТEК КAЛЕНДАРНЫЙ CPOК ДEПOВCКОГО PEМOНТA</v>
      </c>
      <c r="AF49" t="str">
        <f ca="1">IFERROR(__xludf.DUMMYFUNCTION("""COMPUTED_VALUE"""),"32 Ю-ЗАП")</f>
        <v>32 Ю-ЗАП</v>
      </c>
      <c r="AG49" t="str">
        <f ca="1">IFERROR(__xludf.DUMMYFUNCTION("""COMPUTED_VALUE"""),"33000 ЖМЕРИНКА")</f>
        <v>33000 ЖМЕРИНКА</v>
      </c>
      <c r="AH49" t="str">
        <f ca="1">IFERROR(__xludf.DUMMYFUNCTION("""COMPUTED_VALUE"""),"02.02.21 16-47")</f>
        <v>02.02.21 16-47</v>
      </c>
      <c r="AI49" s="21">
        <f ca="1">IFERROR(__xludf.DUMMYFUNCTION("""COMPUTED_VALUE"""),44420.3576504629)</f>
        <v>44420.357650462902</v>
      </c>
    </row>
    <row r="50" spans="1:35" ht="13" x14ac:dyDescent="0.15">
      <c r="A50">
        <f ca="1">IFERROR(__xludf.DUMMYFUNCTION("""COMPUTED_VALUE"""),129)</f>
        <v>129</v>
      </c>
      <c r="B50" t="str">
        <f ca="1">IFERROR(__xludf.DUMMYFUNCTION("""COMPUTED_VALUE"""),"Кнауф")</f>
        <v>Кнауф</v>
      </c>
      <c r="C50" t="str">
        <f ca="1">IFERROR(__xludf.DUMMYFUNCTION("""COMPUTED_VALUE"""),"Сидрейл")</f>
        <v>Сидрейл</v>
      </c>
      <c r="D50">
        <f ca="1">IFERROR(__xludf.DUMMYFUNCTION("""COMPUTED_VALUE"""),24373474)</f>
        <v>24373474</v>
      </c>
      <c r="E50" t="str">
        <f ca="1">IFERROR(__xludf.DUMMYFUNCTION("""COMPUTED_VALUE"""),"20 КРЫТЫЕ")</f>
        <v>20 КРЫТЫЕ</v>
      </c>
      <c r="F50">
        <f ca="1">IFERROR(__xludf.DUMMYFUNCTION("""COMPUTED_VALUE"""),28114)</f>
        <v>28114</v>
      </c>
      <c r="G50" t="str">
        <f ca="1">IFERROR(__xludf.DUMMYFUNCTION("""COMPUTED_VALUE"""),"ЦЕМЕНТ ПР")</f>
        <v>ЦЕМЕНТ ПР</v>
      </c>
      <c r="H50">
        <f ca="1">IFERROR(__xludf.DUMMYFUNCTION("""COMPUTED_VALUE"""),68)</f>
        <v>68</v>
      </c>
      <c r="I50">
        <f ca="1">IFERROR(__xludf.DUMMYFUNCTION("""COMPUTED_VALUE"""),1494)</f>
        <v>1494</v>
      </c>
      <c r="J50" t="str">
        <f ca="1">IFERROR(__xludf.DUMMYFUNCTION("""COMPUTED_VALUE"""),"2325 (38840-160-37000) ИВАНО-ФРАНК - ЛЬВОВ")</f>
        <v>2325 (38840-160-37000) ИВАНО-ФРАНК - ЛЬВОВ</v>
      </c>
      <c r="K50">
        <f ca="1">IFERROR(__xludf.DUMMYFUNCTION("""COMPUTED_VALUE"""),37910)</f>
        <v>37910</v>
      </c>
      <c r="L50" t="str">
        <f ca="1">IFERROR(__xludf.DUMMYFUNCTION("""COMPUTED_VALUE"""),"ХОДОРОВ")</f>
        <v>ХОДОРОВ</v>
      </c>
      <c r="M50" t="str">
        <f ca="1">IFERROR(__xludf.DUMMYFUNCTION("""COMPUTED_VALUE"""),"12.08.21 02-21")</f>
        <v>12.08.21 02-21</v>
      </c>
      <c r="N50" t="str">
        <f ca="1">IFERROR(__xludf.DUMMYFUNCTION("""COMPUTED_VALUE"""),"31 ПРИБ")</f>
        <v>31 ПРИБ</v>
      </c>
      <c r="O50">
        <f ca="1">IFERROR(__xludf.DUMMYFUNCTION("""COMPUTED_VALUE"""),44050)</f>
        <v>44050</v>
      </c>
      <c r="P50" t="str">
        <f ca="1">IFERROR(__xludf.DUMMYFUNCTION("""COMPUTED_VALUE"""),"ХАРЬКОВ-БАЛ")</f>
        <v>ХАРЬКОВ-БАЛ</v>
      </c>
      <c r="Q50">
        <f ca="1">IFERROR(__xludf.DUMMYFUNCTION("""COMPUTED_VALUE"""),38830)</f>
        <v>38830</v>
      </c>
      <c r="R50" t="str">
        <f ca="1">IFERROR(__xludf.DUMMYFUNCTION("""COMPUTED_VALUE"""),"ЯМНИЦА")</f>
        <v>ЯМНИЦА</v>
      </c>
      <c r="S50" t="str">
        <f ca="1">IFERROR(__xludf.DUMMYFUNCTION("""COMPUTED_VALUE"""),"07.08.21 10-25")</f>
        <v>07.08.21 10-25</v>
      </c>
      <c r="T50">
        <f ca="1">IFERROR(__xludf.DUMMYFUNCTION("""COMPUTED_VALUE"""),8199)</f>
        <v>8199</v>
      </c>
      <c r="U50" t="str">
        <f ca="1">IFERROR(__xludf.DUMMYFUNCTION("""COMPUTED_VALUE"""),"24.01.2024 ТР-1")</f>
        <v>24.01.2024 ТР-1</v>
      </c>
      <c r="Z50" t="str">
        <f ca="1">IFERROR(__xludf.DUMMYFUNCTION("""COMPUTED_VALUE"""),"ООО «УКРТРАНСЛОДЖИСТИК»")</f>
        <v>ООО «УКРТРАНСЛОДЖИСТИК»</v>
      </c>
      <c r="AA50" t="str">
        <f ca="1">IFERROR(__xludf.DUMMYFUNCTION("""COMPUTED_VALUE"""),"11-217")</f>
        <v>11-217</v>
      </c>
      <c r="AB50" t="str">
        <f ca="1">IFERROR(__xludf.DUMMYFUNCTION("""COMPUTED_VALUE"""),"32 Ю-ЗАП")</f>
        <v>32 Ю-ЗАП</v>
      </c>
      <c r="AC50" t="str">
        <f ca="1">IFERROR(__xludf.DUMMYFUNCTION("""COMPUTED_VALUE"""),"33000 ЖМЕРИНКА")</f>
        <v>33000 ЖМЕРИНКА</v>
      </c>
      <c r="AD50" t="str">
        <f ca="1">IFERROR(__xludf.DUMMYFUNCTION("""COMPUTED_VALUE"""),"17.01.21 08-51")</f>
        <v>17.01.21 08-51</v>
      </c>
      <c r="AE50" t="str">
        <f ca="1">IFERROR(__xludf.DUMMYFUNCTION("""COMPUTED_VALUE"""),"570 ИCТEК КAЛЕНДАРНЫЙ CPOК ДEПOВCКОГО PEМOНТA")</f>
        <v>570 ИCТEК КAЛЕНДАРНЫЙ CPOК ДEПOВCКОГО PEМOНТA</v>
      </c>
      <c r="AF50" t="str">
        <f ca="1">IFERROR(__xludf.DUMMYFUNCTION("""COMPUTED_VALUE"""),"32 Ю-ЗАП")</f>
        <v>32 Ю-ЗАП</v>
      </c>
      <c r="AG50" t="str">
        <f ca="1">IFERROR(__xludf.DUMMYFUNCTION("""COMPUTED_VALUE"""),"33000 ЖМЕРИНКА")</f>
        <v>33000 ЖМЕРИНКА</v>
      </c>
      <c r="AH50" t="str">
        <f ca="1">IFERROR(__xludf.DUMMYFUNCTION("""COMPUTED_VALUE"""),"03.03.21 18-45")</f>
        <v>03.03.21 18-45</v>
      </c>
      <c r="AI50" s="21">
        <f ca="1">IFERROR(__xludf.DUMMYFUNCTION("""COMPUTED_VALUE"""),44420.3576504629)</f>
        <v>44420.357650462902</v>
      </c>
    </row>
    <row r="51" spans="1:35" ht="13" x14ac:dyDescent="0.15">
      <c r="A51">
        <f ca="1">IFERROR(__xludf.DUMMYFUNCTION("""COMPUTED_VALUE"""),130)</f>
        <v>130</v>
      </c>
      <c r="B51" t="str">
        <f ca="1">IFERROR(__xludf.DUMMYFUNCTION("""COMPUTED_VALUE"""),"Кнауф")</f>
        <v>Кнауф</v>
      </c>
      <c r="C51" t="str">
        <f ca="1">IFERROR(__xludf.DUMMYFUNCTION("""COMPUTED_VALUE"""),"Сидрейл")</f>
        <v>Сидрейл</v>
      </c>
      <c r="D51">
        <f ca="1">IFERROR(__xludf.DUMMYFUNCTION("""COMPUTED_VALUE"""),24404204)</f>
        <v>24404204</v>
      </c>
      <c r="E51" t="str">
        <f ca="1">IFERROR(__xludf.DUMMYFUNCTION("""COMPUTED_VALUE"""),"20 КРЫТЫЕ")</f>
        <v>20 КРЫТЫЕ</v>
      </c>
      <c r="F51">
        <f ca="1">IFERROR(__xludf.DUMMYFUNCTION("""COMPUTED_VALUE"""),23304)</f>
        <v>23304</v>
      </c>
      <c r="G51" t="str">
        <f ca="1">IFERROR(__xludf.DUMMYFUNCTION("""COMPUTED_VALUE"""),"ГИПС ПР")</f>
        <v>ГИПС ПР</v>
      </c>
      <c r="H51">
        <f ca="1">IFERROR(__xludf.DUMMYFUNCTION("""COMPUTED_VALUE"""),66)</f>
        <v>66</v>
      </c>
      <c r="I51">
        <f ca="1">IFERROR(__xludf.DUMMYFUNCTION("""COMPUTED_VALUE"""),7272)</f>
        <v>7272</v>
      </c>
      <c r="J51" t="str">
        <f ca="1">IFERROR(__xludf.DUMMYFUNCTION("""COMPUTED_VALUE"""),"3510 (49460-045-49000) БАХМУТ - ЛИМАН")</f>
        <v>3510 (49460-045-49000) БАХМУТ - ЛИМАН</v>
      </c>
      <c r="K51">
        <f ca="1">IFERROR(__xludf.DUMMYFUNCTION("""COMPUTED_VALUE"""),49000)</f>
        <v>49000</v>
      </c>
      <c r="L51" t="str">
        <f ca="1">IFERROR(__xludf.DUMMYFUNCTION("""COMPUTED_VALUE"""),"ЛИМАН")</f>
        <v>ЛИМАН</v>
      </c>
      <c r="M51" t="str">
        <f ca="1">IFERROR(__xludf.DUMMYFUNCTION("""COMPUTED_VALUE"""),"11.08.21 18-19")</f>
        <v>11.08.21 18-19</v>
      </c>
      <c r="N51" t="str">
        <f ca="1">IFERROR(__xludf.DUMMYFUNCTION("""COMPUTED_VALUE"""),"04 РАСФ")</f>
        <v>04 РАСФ</v>
      </c>
      <c r="O51">
        <f ca="1">IFERROR(__xludf.DUMMYFUNCTION("""COMPUTED_VALUE"""),34560)</f>
        <v>34560</v>
      </c>
      <c r="P51" t="str">
        <f ca="1">IFERROR(__xludf.DUMMYFUNCTION("""COMPUTED_VALUE"""),"ЖИТОМИР")</f>
        <v>ЖИТОМИР</v>
      </c>
      <c r="Q51">
        <f ca="1">IFERROR(__xludf.DUMMYFUNCTION("""COMPUTED_VALUE"""),49620)</f>
        <v>49620</v>
      </c>
      <c r="R51" t="str">
        <f ca="1">IFERROR(__xludf.DUMMYFUNCTION("""COMPUTED_VALUE"""),"ДЕКОНСКАЯ")</f>
        <v>ДЕКОНСКАЯ</v>
      </c>
      <c r="S51" t="str">
        <f ca="1">IFERROR(__xludf.DUMMYFUNCTION("""COMPUTED_VALUE"""),"10.08.21 21-00")</f>
        <v>10.08.21 21-00</v>
      </c>
      <c r="T51">
        <f ca="1">IFERROR(__xludf.DUMMYFUNCTION("""COMPUTED_VALUE"""),4149)</f>
        <v>4149</v>
      </c>
      <c r="U51" t="str">
        <f ca="1">IFERROR(__xludf.DUMMYFUNCTION("""COMPUTED_VALUE"""),"18.01.2024 ДР")</f>
        <v>18.01.2024 ДР</v>
      </c>
      <c r="Z51" t="str">
        <f ca="1">IFERROR(__xludf.DUMMYFUNCTION("""COMPUTED_VALUE"""),"ООО «УКРТРАНСЛОДЖИСТИК»")</f>
        <v>ООО «УКРТРАНСЛОДЖИСТИК»</v>
      </c>
      <c r="AA51" t="str">
        <f ca="1">IFERROR(__xludf.DUMMYFUNCTION("""COMPUTED_VALUE"""),"11-217")</f>
        <v>11-217</v>
      </c>
      <c r="AB51" t="str">
        <f ca="1">IFERROR(__xludf.DUMMYFUNCTION("""COMPUTED_VALUE"""),"32 Ю-ЗАП")</f>
        <v>32 Ю-ЗАП</v>
      </c>
      <c r="AC51" t="str">
        <f ca="1">IFERROR(__xludf.DUMMYFUNCTION("""COMPUTED_VALUE"""),"33000 ЖМЕРИНКА")</f>
        <v>33000 ЖМЕРИНКА</v>
      </c>
      <c r="AD51" t="str">
        <f ca="1">IFERROR(__xludf.DUMMYFUNCTION("""COMPUTED_VALUE"""),"24.12.20 15-57")</f>
        <v>24.12.20 15-57</v>
      </c>
      <c r="AE51" t="str">
        <f ca="1">IFERROR(__xludf.DUMMYFUNCTION("""COMPUTED_VALUE"""),"570 ИCТEК КAЛЕНДАРНЫЙ CPOК ДEПOВCКОГО PEМOНТA")</f>
        <v>570 ИCТEК КAЛЕНДАРНЫЙ CPOК ДEПOВCКОГО PEМOНТA</v>
      </c>
      <c r="AF51" t="str">
        <f ca="1">IFERROR(__xludf.DUMMYFUNCTION("""COMPUTED_VALUE"""),"32 Ю-ЗАП")</f>
        <v>32 Ю-ЗАП</v>
      </c>
      <c r="AG51" t="str">
        <f ca="1">IFERROR(__xludf.DUMMYFUNCTION("""COMPUTED_VALUE"""),"33000 ЖМЕРИНКА")</f>
        <v>33000 ЖМЕРИНКА</v>
      </c>
      <c r="AH51" t="str">
        <f ca="1">IFERROR(__xludf.DUMMYFUNCTION("""COMPUTED_VALUE"""),"18.01.21 15-28")</f>
        <v>18.01.21 15-28</v>
      </c>
      <c r="AI51" s="21">
        <f ca="1">IFERROR(__xludf.DUMMYFUNCTION("""COMPUTED_VALUE"""),44420.3576504629)</f>
        <v>44420.357650462902</v>
      </c>
    </row>
    <row r="52" spans="1:35" ht="13" x14ac:dyDescent="0.15">
      <c r="A52">
        <f ca="1">IFERROR(__xludf.DUMMYFUNCTION("""COMPUTED_VALUE"""),131)</f>
        <v>131</v>
      </c>
      <c r="B52" t="str">
        <f ca="1">IFERROR(__xludf.DUMMYFUNCTION("""COMPUTED_VALUE"""),"Кнауф")</f>
        <v>Кнауф</v>
      </c>
      <c r="C52" t="str">
        <f ca="1">IFERROR(__xludf.DUMMYFUNCTION("""COMPUTED_VALUE"""),"Сидрейл")</f>
        <v>Сидрейл</v>
      </c>
      <c r="D52">
        <f ca="1">IFERROR(__xludf.DUMMYFUNCTION("""COMPUTED_VALUE"""),24462376)</f>
        <v>24462376</v>
      </c>
      <c r="E52" t="str">
        <f ca="1">IFERROR(__xludf.DUMMYFUNCTION("""COMPUTED_VALUE"""),"20 КРЫТЫЕ")</f>
        <v>20 КРЫТЫЕ</v>
      </c>
      <c r="F52">
        <f ca="1">IFERROR(__xludf.DUMMYFUNCTION("""COMPUTED_VALUE"""),28114)</f>
        <v>28114</v>
      </c>
      <c r="G52" t="str">
        <f ca="1">IFERROR(__xludf.DUMMYFUNCTION("""COMPUTED_VALUE"""),"ЦЕМЕНТ ПР")</f>
        <v>ЦЕМЕНТ ПР</v>
      </c>
      <c r="H52">
        <f ca="1">IFERROR(__xludf.DUMMYFUNCTION("""COMPUTED_VALUE"""),68)</f>
        <v>68</v>
      </c>
      <c r="I52">
        <f ca="1">IFERROR(__xludf.DUMMYFUNCTION("""COMPUTED_VALUE"""),8433)</f>
        <v>8433</v>
      </c>
      <c r="J52" t="str">
        <f ca="1">IFERROR(__xludf.DUMMYFUNCTION("""COMPUTED_VALUE"""),"2834 (37000-715-42500) ЛЬВОВ - КРЕМЕНЧУГ")</f>
        <v>2834 (37000-715-42500) ЛЬВОВ - КРЕМЕНЧУГ</v>
      </c>
      <c r="K52">
        <f ca="1">IFERROR(__xludf.DUMMYFUNCTION("""COMPUTED_VALUE"""),34200)</f>
        <v>34200</v>
      </c>
      <c r="L52" t="str">
        <f ca="1">IFERROR(__xludf.DUMMYFUNCTION("""COMPUTED_VALUE"""),"РАЗИНО")</f>
        <v>РАЗИНО</v>
      </c>
      <c r="M52" t="str">
        <f ca="1">IFERROR(__xludf.DUMMYFUNCTION("""COMPUTED_VALUE"""),"12.08.21 08-08")</f>
        <v>12.08.21 08-08</v>
      </c>
      <c r="N52" t="str">
        <f ca="1">IFERROR(__xludf.DUMMYFUNCTION("""COMPUTED_VALUE"""),"03 ПРОС")</f>
        <v>03 ПРОС</v>
      </c>
      <c r="O52">
        <f ca="1">IFERROR(__xludf.DUMMYFUNCTION("""COMPUTED_VALUE"""),44850)</f>
        <v>44850</v>
      </c>
      <c r="P52" t="str">
        <f ca="1">IFERROR(__xludf.DUMMYFUNCTION("""COMPUTED_VALUE"""),"ПОЛТАВА-КИЕВ")</f>
        <v>ПОЛТАВА-КИЕВ</v>
      </c>
      <c r="Q52">
        <f ca="1">IFERROR(__xludf.DUMMYFUNCTION("""COMPUTED_VALUE"""),38830)</f>
        <v>38830</v>
      </c>
      <c r="R52" t="str">
        <f ca="1">IFERROR(__xludf.DUMMYFUNCTION("""COMPUTED_VALUE"""),"ЯМНИЦА")</f>
        <v>ЯМНИЦА</v>
      </c>
      <c r="S52" t="str">
        <f ca="1">IFERROR(__xludf.DUMMYFUNCTION("""COMPUTED_VALUE"""),"06.08.21 09-45")</f>
        <v>06.08.21 09-45</v>
      </c>
      <c r="T52">
        <f ca="1">IFERROR(__xludf.DUMMYFUNCTION("""COMPUTED_VALUE"""),8199)</f>
        <v>8199</v>
      </c>
      <c r="U52" t="str">
        <f ca="1">IFERROR(__xludf.DUMMYFUNCTION("""COMPUTED_VALUE"""),"24.01.2024 ТР-1")</f>
        <v>24.01.2024 ТР-1</v>
      </c>
      <c r="Z52" t="str">
        <f ca="1">IFERROR(__xludf.DUMMYFUNCTION("""COMPUTED_VALUE"""),"ООО «УКРТРАНСЛОДЖИСТИК»")</f>
        <v>ООО «УКРТРАНСЛОДЖИСТИК»</v>
      </c>
      <c r="AA52" t="str">
        <f ca="1">IFERROR(__xludf.DUMMYFUNCTION("""COMPUTED_VALUE"""),"11-270")</f>
        <v>11-270</v>
      </c>
      <c r="AB52" t="str">
        <f ca="1">IFERROR(__xludf.DUMMYFUNCTION("""COMPUTED_VALUE"""),"32 Ю-ЗАП")</f>
        <v>32 Ю-ЗАП</v>
      </c>
      <c r="AC52" t="str">
        <f ca="1">IFERROR(__xludf.DUMMYFUNCTION("""COMPUTED_VALUE"""),"33000 ЖМЕРИНКА")</f>
        <v>33000 ЖМЕРИНКА</v>
      </c>
      <c r="AD52" t="str">
        <f ca="1">IFERROR(__xludf.DUMMYFUNCTION("""COMPUTED_VALUE"""),"18.01.21 13-43")</f>
        <v>18.01.21 13-43</v>
      </c>
      <c r="AE52" t="str">
        <f ca="1">IFERROR(__xludf.DUMMYFUNCTION("""COMPUTED_VALUE"""),"570 ИCТEК КAЛЕНДАРНЫЙ CPOК ДEПOВCКОГО PEМOНТA")</f>
        <v>570 ИCТEК КAЛЕНДАРНЫЙ CPOК ДEПOВCКОГО PEМOНТA</v>
      </c>
      <c r="AF52" t="str">
        <f ca="1">IFERROR(__xludf.DUMMYFUNCTION("""COMPUTED_VALUE"""),"32 Ю-ЗАП")</f>
        <v>32 Ю-ЗАП</v>
      </c>
      <c r="AG52" t="str">
        <f ca="1">IFERROR(__xludf.DUMMYFUNCTION("""COMPUTED_VALUE"""),"33000 ЖМЕРИНКА")</f>
        <v>33000 ЖМЕРИНКА</v>
      </c>
      <c r="AH52" t="str">
        <f ca="1">IFERROR(__xludf.DUMMYFUNCTION("""COMPUTED_VALUE"""),"06.02.21 16-30")</f>
        <v>06.02.21 16-30</v>
      </c>
      <c r="AI52" s="21">
        <f ca="1">IFERROR(__xludf.DUMMYFUNCTION("""COMPUTED_VALUE"""),44420.3576504629)</f>
        <v>44420.357650462902</v>
      </c>
    </row>
    <row r="53" spans="1:35" ht="13" x14ac:dyDescent="0.15">
      <c r="A53">
        <f ca="1">IFERROR(__xludf.DUMMYFUNCTION("""COMPUTED_VALUE"""),132)</f>
        <v>132</v>
      </c>
      <c r="B53" t="str">
        <f ca="1">IFERROR(__xludf.DUMMYFUNCTION("""COMPUTED_VALUE"""),"Кнауф")</f>
        <v>Кнауф</v>
      </c>
      <c r="C53" t="str">
        <f ca="1">IFERROR(__xludf.DUMMYFUNCTION("""COMPUTED_VALUE"""),"Сидрейл")</f>
        <v>Сидрейл</v>
      </c>
      <c r="D53">
        <f ca="1">IFERROR(__xludf.DUMMYFUNCTION("""COMPUTED_VALUE"""),24465213)</f>
        <v>24465213</v>
      </c>
      <c r="E53" t="str">
        <f ca="1">IFERROR(__xludf.DUMMYFUNCTION("""COMPUTED_VALUE"""),"20 КРЫТЫЕ")</f>
        <v>20 КРЫТЫЕ</v>
      </c>
      <c r="F53">
        <f ca="1">IFERROR(__xludf.DUMMYFUNCTION("""COMPUTED_VALUE"""),42103)</f>
        <v>42103</v>
      </c>
      <c r="G53" t="str">
        <f ca="1">IFERROR(__xludf.DUMMYFUNCTION("""COMPUTED_VALUE"""),"ВАГОНЫ ЖД СВ")</f>
        <v>ВАГОНЫ ЖД СВ</v>
      </c>
      <c r="H53">
        <f ca="1">IFERROR(__xludf.DUMMYFUNCTION("""COMPUTED_VALUE"""),0)</f>
        <v>0</v>
      </c>
      <c r="I53">
        <f ca="1">IFERROR(__xludf.DUMMYFUNCTION("""COMPUTED_VALUE"""),4149)</f>
        <v>4149</v>
      </c>
      <c r="J53" t="str">
        <f ca="1">IFERROR(__xludf.DUMMYFUNCTION("""COMPUTED_VALUE"""),"3806 (49460-036-49640) БАХМУТ -")</f>
        <v>3806 (49460-036-49640) БАХМУТ -</v>
      </c>
      <c r="K53">
        <f ca="1">IFERROR(__xludf.DUMMYFUNCTION("""COMPUTED_VALUE"""),49620)</f>
        <v>49620</v>
      </c>
      <c r="L53" t="str">
        <f ca="1">IFERROR(__xludf.DUMMYFUNCTION("""COMPUTED_VALUE"""),"ДЕКОНСКАЯ")</f>
        <v>ДЕКОНСКАЯ</v>
      </c>
      <c r="M53" t="str">
        <f ca="1">IFERROR(__xludf.DUMMYFUNCTION("""COMPUTED_VALUE"""),"10.08.21 21-00")</f>
        <v>10.08.21 21-00</v>
      </c>
      <c r="N53" t="str">
        <f ca="1">IFERROR(__xludf.DUMMYFUNCTION("""COMPUTED_VALUE"""),"98 ОТОТ")</f>
        <v>98 ОТОТ</v>
      </c>
      <c r="O53">
        <f ca="1">IFERROR(__xludf.DUMMYFUNCTION("""COMPUTED_VALUE"""),49620)</f>
        <v>49620</v>
      </c>
      <c r="P53" t="str">
        <f ca="1">IFERROR(__xludf.DUMMYFUNCTION("""COMPUTED_VALUE"""),"ДЕКОНСКАЯ")</f>
        <v>ДЕКОНСКАЯ</v>
      </c>
      <c r="Q53">
        <f ca="1">IFERROR(__xludf.DUMMYFUNCTION("""COMPUTED_VALUE"""),44850)</f>
        <v>44850</v>
      </c>
      <c r="R53" t="str">
        <f ca="1">IFERROR(__xludf.DUMMYFUNCTION("""COMPUTED_VALUE"""),"ПОЛТАВА-КИЕВ")</f>
        <v>ПОЛТАВА-КИЕВ</v>
      </c>
      <c r="S53" t="str">
        <f ca="1">IFERROR(__xludf.DUMMYFUNCTION("""COMPUTED_VALUE"""),"02.08.21 18-35")</f>
        <v>02.08.21 18-35</v>
      </c>
      <c r="T53">
        <f ca="1">IFERROR(__xludf.DUMMYFUNCTION("""COMPUTED_VALUE"""),1462)</f>
        <v>1462</v>
      </c>
      <c r="U53" t="str">
        <f ca="1">IFERROR(__xludf.DUMMYFUNCTION("""COMPUTED_VALUE"""),"24.01.2024 ТР-1")</f>
        <v>24.01.2024 ТР-1</v>
      </c>
      <c r="Z53" t="str">
        <f ca="1">IFERROR(__xludf.DUMMYFUNCTION("""COMPUTED_VALUE"""),"ООО «УКРТРАНСЛОДЖИСТИК»")</f>
        <v>ООО «УКРТРАНСЛОДЖИСТИК»</v>
      </c>
      <c r="AA53" t="str">
        <f ca="1">IFERROR(__xludf.DUMMYFUNCTION("""COMPUTED_VALUE"""),"11-217")</f>
        <v>11-217</v>
      </c>
      <c r="AB53" t="str">
        <f ca="1">IFERROR(__xludf.DUMMYFUNCTION("""COMPUTED_VALUE"""),"32 Ю-ЗАП")</f>
        <v>32 Ю-ЗАП</v>
      </c>
      <c r="AC53" t="str">
        <f ca="1">IFERROR(__xludf.DUMMYFUNCTION("""COMPUTED_VALUE"""),"33000 ЖМЕРИНКА")</f>
        <v>33000 ЖМЕРИНКА</v>
      </c>
      <c r="AD53" t="str">
        <f ca="1">IFERROR(__xludf.DUMMYFUNCTION("""COMPUTED_VALUE"""),"24.01.21 10-43")</f>
        <v>24.01.21 10-43</v>
      </c>
      <c r="AE53" t="str">
        <f ca="1">IFERROR(__xludf.DUMMYFUNCTION("""COMPUTED_VALUE"""),"570 ИCТEК КAЛЕНДАРНЫЙ CPOК ДEПOВCКОГО PEМOНТA")</f>
        <v>570 ИCТEК КAЛЕНДАРНЫЙ CPOК ДEПOВCКОГО PEМOНТA</v>
      </c>
      <c r="AF53" t="str">
        <f ca="1">IFERROR(__xludf.DUMMYFUNCTION("""COMPUTED_VALUE"""),"32 Ю-ЗАП")</f>
        <v>32 Ю-ЗАП</v>
      </c>
      <c r="AG53" t="str">
        <f ca="1">IFERROR(__xludf.DUMMYFUNCTION("""COMPUTED_VALUE"""),"33000 ЖМЕРИНКА")</f>
        <v>33000 ЖМЕРИНКА</v>
      </c>
      <c r="AH53" t="str">
        <f ca="1">IFERROR(__xludf.DUMMYFUNCTION("""COMPUTED_VALUE"""),"17.02.21 15-39")</f>
        <v>17.02.21 15-39</v>
      </c>
      <c r="AI53" s="21">
        <f ca="1">IFERROR(__xludf.DUMMYFUNCTION("""COMPUTED_VALUE"""),44420.3576504629)</f>
        <v>44420.357650462902</v>
      </c>
    </row>
    <row r="54" spans="1:35" ht="13" x14ac:dyDescent="0.15">
      <c r="A54">
        <f ca="1">IFERROR(__xludf.DUMMYFUNCTION("""COMPUTED_VALUE"""),133)</f>
        <v>133</v>
      </c>
      <c r="B54" t="str">
        <f ca="1">IFERROR(__xludf.DUMMYFUNCTION("""COMPUTED_VALUE"""),"Кнауф")</f>
        <v>Кнауф</v>
      </c>
      <c r="C54" t="str">
        <f ca="1">IFERROR(__xludf.DUMMYFUNCTION("""COMPUTED_VALUE"""),"Сидрейл")</f>
        <v>Сидрейл</v>
      </c>
      <c r="D54">
        <f ca="1">IFERROR(__xludf.DUMMYFUNCTION("""COMPUTED_VALUE"""),24466252)</f>
        <v>24466252</v>
      </c>
      <c r="E54" t="str">
        <f ca="1">IFERROR(__xludf.DUMMYFUNCTION("""COMPUTED_VALUE"""),"20 КРЫТЫЕ")</f>
        <v>20 КРЫТЫЕ</v>
      </c>
      <c r="F54">
        <f ca="1">IFERROR(__xludf.DUMMYFUNCTION("""COMPUTED_VALUE"""),42103)</f>
        <v>42103</v>
      </c>
      <c r="G54" t="str">
        <f ca="1">IFERROR(__xludf.DUMMYFUNCTION("""COMPUTED_VALUE"""),"ВАГОНЫ ЖД СВ")</f>
        <v>ВАГОНЫ ЖД СВ</v>
      </c>
      <c r="H54">
        <f ca="1">IFERROR(__xludf.DUMMYFUNCTION("""COMPUTED_VALUE"""),0)</f>
        <v>0</v>
      </c>
      <c r="I54">
        <f ca="1">IFERROR(__xludf.DUMMYFUNCTION("""COMPUTED_VALUE"""),4149)</f>
        <v>4149</v>
      </c>
      <c r="J54" t="str">
        <f ca="1">IFERROR(__xludf.DUMMYFUNCTION("""COMPUTED_VALUE"""),"2831 (44020-300-49000) ОСНОВА - ЛИМАН")</f>
        <v>2831 (44020-300-49000) ОСНОВА - ЛИМАН</v>
      </c>
      <c r="K54">
        <f ca="1">IFERROR(__xludf.DUMMYFUNCTION("""COMPUTED_VALUE"""),49005)</f>
        <v>49005</v>
      </c>
      <c r="L54" t="str">
        <f ca="1">IFERROR(__xludf.DUMMYFUNCTION("""COMPUTED_VALUE"""),"ФОРПОСТНАЯ")</f>
        <v>ФОРПОСТНАЯ</v>
      </c>
      <c r="M54" t="str">
        <f ca="1">IFERROR(__xludf.DUMMYFUNCTION("""COMPUTED_VALUE"""),"12.08.21 08-19")</f>
        <v>12.08.21 08-19</v>
      </c>
      <c r="N54" t="str">
        <f ca="1">IFERROR(__xludf.DUMMYFUNCTION("""COMPUTED_VALUE"""),"03 ПРОС")</f>
        <v>03 ПРОС</v>
      </c>
      <c r="O54">
        <f ca="1">IFERROR(__xludf.DUMMYFUNCTION("""COMPUTED_VALUE"""),49620)</f>
        <v>49620</v>
      </c>
      <c r="P54" t="str">
        <f ca="1">IFERROR(__xludf.DUMMYFUNCTION("""COMPUTED_VALUE"""),"ДЕКОНСКАЯ")</f>
        <v>ДЕКОНСКАЯ</v>
      </c>
      <c r="Q54">
        <f ca="1">IFERROR(__xludf.DUMMYFUNCTION("""COMPUTED_VALUE"""),44050)</f>
        <v>44050</v>
      </c>
      <c r="R54" t="str">
        <f ca="1">IFERROR(__xludf.DUMMYFUNCTION("""COMPUTED_VALUE"""),"ХАРЬКОВ-БАЛ")</f>
        <v>ХАРЬКОВ-БАЛ</v>
      </c>
      <c r="S54" t="str">
        <f ca="1">IFERROR(__xludf.DUMMYFUNCTION("""COMPUTED_VALUE"""),"09.08.21 18-10")</f>
        <v>09.08.21 18-10</v>
      </c>
      <c r="T54">
        <f ca="1">IFERROR(__xludf.DUMMYFUNCTION("""COMPUTED_VALUE"""),1494)</f>
        <v>1494</v>
      </c>
      <c r="U54" t="str">
        <f ca="1">IFERROR(__xludf.DUMMYFUNCTION("""COMPUTED_VALUE"""),"24.01.2024 ТР-1")</f>
        <v>24.01.2024 ТР-1</v>
      </c>
      <c r="Z54" t="str">
        <f ca="1">IFERROR(__xludf.DUMMYFUNCTION("""COMPUTED_VALUE"""),"ООО «УКРТРАНСЛОДЖИСТИК»")</f>
        <v>ООО «УКРТРАНСЛОДЖИСТИК»</v>
      </c>
      <c r="AA54" t="str">
        <f ca="1">IFERROR(__xludf.DUMMYFUNCTION("""COMPUTED_VALUE"""),"11-217")</f>
        <v>11-217</v>
      </c>
      <c r="AB54" t="str">
        <f ca="1">IFERROR(__xludf.DUMMYFUNCTION("""COMPUTED_VALUE"""),"32 Ю-ЗАП")</f>
        <v>32 Ю-ЗАП</v>
      </c>
      <c r="AC54" t="str">
        <f ca="1">IFERROR(__xludf.DUMMYFUNCTION("""COMPUTED_VALUE"""),"33000 ЖМЕРИНКА")</f>
        <v>33000 ЖМЕРИНКА</v>
      </c>
      <c r="AD54" t="str">
        <f ca="1">IFERROR(__xludf.DUMMYFUNCTION("""COMPUTED_VALUE"""),"21.01.21 11-36")</f>
        <v>21.01.21 11-36</v>
      </c>
      <c r="AE54" t="str">
        <f ca="1">IFERROR(__xludf.DUMMYFUNCTION("""COMPUTED_VALUE"""),"570 ИCТEК КAЛЕНДАРНЫЙ CPOК ДEПOВCКОГО PEМOНТA")</f>
        <v>570 ИCТEК КAЛЕНДАРНЫЙ CPOК ДEПOВCКОГО PEМOНТA</v>
      </c>
      <c r="AF54" t="str">
        <f ca="1">IFERROR(__xludf.DUMMYFUNCTION("""COMPUTED_VALUE"""),"32 Ю-ЗАП")</f>
        <v>32 Ю-ЗАП</v>
      </c>
      <c r="AG54" t="str">
        <f ca="1">IFERROR(__xludf.DUMMYFUNCTION("""COMPUTED_VALUE"""),"33000 ЖМЕРИНКА")</f>
        <v>33000 ЖМЕРИНКА</v>
      </c>
      <c r="AH54" t="str">
        <f ca="1">IFERROR(__xludf.DUMMYFUNCTION("""COMPUTED_VALUE"""),"28.01.21 18-33")</f>
        <v>28.01.21 18-33</v>
      </c>
      <c r="AI54" s="21">
        <f ca="1">IFERROR(__xludf.DUMMYFUNCTION("""COMPUTED_VALUE"""),44420.3576504629)</f>
        <v>44420.357650462902</v>
      </c>
    </row>
    <row r="55" spans="1:35" ht="13" x14ac:dyDescent="0.15">
      <c r="A55">
        <f ca="1">IFERROR(__xludf.DUMMYFUNCTION("""COMPUTED_VALUE"""),134)</f>
        <v>134</v>
      </c>
      <c r="B55" t="str">
        <f ca="1">IFERROR(__xludf.DUMMYFUNCTION("""COMPUTED_VALUE"""),"Кнауф")</f>
        <v>Кнауф</v>
      </c>
      <c r="C55" t="str">
        <f ca="1">IFERROR(__xludf.DUMMYFUNCTION("""COMPUTED_VALUE"""),"Сидрейл")</f>
        <v>Сидрейл</v>
      </c>
      <c r="D55">
        <f ca="1">IFERROR(__xludf.DUMMYFUNCTION("""COMPUTED_VALUE"""),24466260)</f>
        <v>24466260</v>
      </c>
      <c r="E55" t="str">
        <f ca="1">IFERROR(__xludf.DUMMYFUNCTION("""COMPUTED_VALUE"""),"20 КРЫТЫЕ")</f>
        <v>20 КРЫТЫЕ</v>
      </c>
      <c r="F55">
        <f ca="1">IFERROR(__xludf.DUMMYFUNCTION("""COMPUTED_VALUE"""),28114)</f>
        <v>28114</v>
      </c>
      <c r="G55" t="str">
        <f ca="1">IFERROR(__xludf.DUMMYFUNCTION("""COMPUTED_VALUE"""),"ЦЕМЕНТ ПР")</f>
        <v>ЦЕМЕНТ ПР</v>
      </c>
      <c r="H55">
        <f ca="1">IFERROR(__xludf.DUMMYFUNCTION("""COMPUTED_VALUE"""),68)</f>
        <v>68</v>
      </c>
      <c r="I55">
        <f ca="1">IFERROR(__xludf.DUMMYFUNCTION("""COMPUTED_VALUE"""),1494)</f>
        <v>1494</v>
      </c>
      <c r="J55" t="str">
        <f ca="1">IFERROR(__xludf.DUMMYFUNCTION("""COMPUTED_VALUE"""),"2850 (37000-630-42500) ЛЬВОВ - КРЕМЕНЧУГ")</f>
        <v>2850 (37000-630-42500) ЛЬВОВ - КРЕМЕНЧУГ</v>
      </c>
      <c r="K55">
        <f ca="1">IFERROR(__xludf.DUMMYFUNCTION("""COMPUTED_VALUE"""),42500)</f>
        <v>42500</v>
      </c>
      <c r="L55" t="str">
        <f ca="1">IFERROR(__xludf.DUMMYFUNCTION("""COMPUTED_VALUE"""),"КРЕМЕНЧУГ")</f>
        <v>КРЕМЕНЧУГ</v>
      </c>
      <c r="M55" t="str">
        <f ca="1">IFERROR(__xludf.DUMMYFUNCTION("""COMPUTED_VALUE"""),"12.08.21 03-10")</f>
        <v>12.08.21 03-10</v>
      </c>
      <c r="N55" t="str">
        <f ca="1">IFERROR(__xludf.DUMMYFUNCTION("""COMPUTED_VALUE"""),"01 ПРИБ")</f>
        <v>01 ПРИБ</v>
      </c>
      <c r="O55">
        <f ca="1">IFERROR(__xludf.DUMMYFUNCTION("""COMPUTED_VALUE"""),44050)</f>
        <v>44050</v>
      </c>
      <c r="P55" t="str">
        <f ca="1">IFERROR(__xludf.DUMMYFUNCTION("""COMPUTED_VALUE"""),"ХАРЬКОВ-БАЛ")</f>
        <v>ХАРЬКОВ-БАЛ</v>
      </c>
      <c r="Q55">
        <f ca="1">IFERROR(__xludf.DUMMYFUNCTION("""COMPUTED_VALUE"""),38830)</f>
        <v>38830</v>
      </c>
      <c r="R55" t="str">
        <f ca="1">IFERROR(__xludf.DUMMYFUNCTION("""COMPUTED_VALUE"""),"ЯМНИЦА")</f>
        <v>ЯМНИЦА</v>
      </c>
      <c r="S55" t="str">
        <f ca="1">IFERROR(__xludf.DUMMYFUNCTION("""COMPUTED_VALUE"""),"05.08.21 04-55")</f>
        <v>05.08.21 04-55</v>
      </c>
      <c r="T55">
        <f ca="1">IFERROR(__xludf.DUMMYFUNCTION("""COMPUTED_VALUE"""),8199)</f>
        <v>8199</v>
      </c>
      <c r="U55" t="str">
        <f ca="1">IFERROR(__xludf.DUMMYFUNCTION("""COMPUTED_VALUE"""),"24.01.2024 ТР-1")</f>
        <v>24.01.2024 ТР-1</v>
      </c>
      <c r="Z55" t="str">
        <f ca="1">IFERROR(__xludf.DUMMYFUNCTION("""COMPUTED_VALUE"""),"ООО «УКРТРАНСЛОДЖИСТИК»")</f>
        <v>ООО «УКРТРАНСЛОДЖИСТИК»</v>
      </c>
      <c r="AA55" t="str">
        <f ca="1">IFERROR(__xludf.DUMMYFUNCTION("""COMPUTED_VALUE"""),"11-217")</f>
        <v>11-217</v>
      </c>
      <c r="AB55" t="str">
        <f ca="1">IFERROR(__xludf.DUMMYFUNCTION("""COMPUTED_VALUE"""),"32 Ю-ЗАП")</f>
        <v>32 Ю-ЗАП</v>
      </c>
      <c r="AC55" t="str">
        <f ca="1">IFERROR(__xludf.DUMMYFUNCTION("""COMPUTED_VALUE"""),"33000 ЖМЕРИНКА")</f>
        <v>33000 ЖМЕРИНКА</v>
      </c>
      <c r="AD55" t="str">
        <f ca="1">IFERROR(__xludf.DUMMYFUNCTION("""COMPUTED_VALUE"""),"06.02.21 18-00")</f>
        <v>06.02.21 18-00</v>
      </c>
      <c r="AE55" t="str">
        <f ca="1">IFERROR(__xludf.DUMMYFUNCTION("""COMPUTED_VALUE"""),"570 ИCТEК КAЛЕНДАРНЫЙ CPOК ДEПOВCКОГО PEМOНТA")</f>
        <v>570 ИCТEК КAЛЕНДАРНЫЙ CPOК ДEПOВCКОГО PEМOНТA</v>
      </c>
      <c r="AF55" t="str">
        <f ca="1">IFERROR(__xludf.DUMMYFUNCTION("""COMPUTED_VALUE"""),"32 Ю-ЗАП")</f>
        <v>32 Ю-ЗАП</v>
      </c>
      <c r="AG55" t="str">
        <f ca="1">IFERROR(__xludf.DUMMYFUNCTION("""COMPUTED_VALUE"""),"33000 ЖМЕРИНКА")</f>
        <v>33000 ЖМЕРИНКА</v>
      </c>
      <c r="AH55" t="str">
        <f ca="1">IFERROR(__xludf.DUMMYFUNCTION("""COMPUTED_VALUE"""),"26.02.21 16-32")</f>
        <v>26.02.21 16-32</v>
      </c>
      <c r="AI55" s="21">
        <f ca="1">IFERROR(__xludf.DUMMYFUNCTION("""COMPUTED_VALUE"""),44420.3576504629)</f>
        <v>44420.357650462902</v>
      </c>
    </row>
    <row r="56" spans="1:35" ht="13" x14ac:dyDescent="0.15">
      <c r="A56">
        <f ca="1">IFERROR(__xludf.DUMMYFUNCTION("""COMPUTED_VALUE"""),135)</f>
        <v>135</v>
      </c>
      <c r="B56" t="str">
        <f ca="1">IFERROR(__xludf.DUMMYFUNCTION("""COMPUTED_VALUE"""),"Кнауф")</f>
        <v>Кнауф</v>
      </c>
      <c r="C56" t="str">
        <f ca="1">IFERROR(__xludf.DUMMYFUNCTION("""COMPUTED_VALUE"""),"Сидрейл")</f>
        <v>Сидрейл</v>
      </c>
      <c r="D56">
        <f ca="1">IFERROR(__xludf.DUMMYFUNCTION("""COMPUTED_VALUE"""),24466328)</f>
        <v>24466328</v>
      </c>
      <c r="E56" t="str">
        <f ca="1">IFERROR(__xludf.DUMMYFUNCTION("""COMPUTED_VALUE"""),"20 КРЫТЫЕ")</f>
        <v>20 КРЫТЫЕ</v>
      </c>
      <c r="F56">
        <f ca="1">IFERROR(__xludf.DUMMYFUNCTION("""COMPUTED_VALUE"""),42103)</f>
        <v>42103</v>
      </c>
      <c r="G56" t="str">
        <f ca="1">IFERROR(__xludf.DUMMYFUNCTION("""COMPUTED_VALUE"""),"ВАГОНЫ ЖД СВ")</f>
        <v>ВАГОНЫ ЖД СВ</v>
      </c>
      <c r="H56">
        <f ca="1">IFERROR(__xludf.DUMMYFUNCTION("""COMPUTED_VALUE"""),0)</f>
        <v>0</v>
      </c>
      <c r="I56">
        <f ca="1">IFERROR(__xludf.DUMMYFUNCTION("""COMPUTED_VALUE"""),4149)</f>
        <v>4149</v>
      </c>
      <c r="J56" t="str">
        <f ca="1">IFERROR(__xludf.DUMMYFUNCTION("""COMPUTED_VALUE"""),"3802 (49640-069-49620)  - ДЕКОНСКАЯ")</f>
        <v>3802 (49640-069-49620)  - ДЕКОНСКАЯ</v>
      </c>
      <c r="K56">
        <f ca="1">IFERROR(__xludf.DUMMYFUNCTION("""COMPUTED_VALUE"""),49620)</f>
        <v>49620</v>
      </c>
      <c r="L56" t="str">
        <f ca="1">IFERROR(__xludf.DUMMYFUNCTION("""COMPUTED_VALUE"""),"ДЕКОНСКАЯ")</f>
        <v>ДЕКОНСКАЯ</v>
      </c>
      <c r="M56" t="str">
        <f ca="1">IFERROR(__xludf.DUMMYFUNCTION("""COMPUTED_VALUE"""),"11.08.21 11-00")</f>
        <v>11.08.21 11-00</v>
      </c>
      <c r="N56" t="str">
        <f ca="1">IFERROR(__xludf.DUMMYFUNCTION("""COMPUTED_VALUE"""),"98 ОТОТ")</f>
        <v>98 ОТОТ</v>
      </c>
      <c r="O56">
        <f ca="1">IFERROR(__xludf.DUMMYFUNCTION("""COMPUTED_VALUE"""),49620)</f>
        <v>49620</v>
      </c>
      <c r="P56" t="str">
        <f ca="1">IFERROR(__xludf.DUMMYFUNCTION("""COMPUTED_VALUE"""),"ДЕКОНСКАЯ")</f>
        <v>ДЕКОНСКАЯ</v>
      </c>
      <c r="Q56">
        <f ca="1">IFERROR(__xludf.DUMMYFUNCTION("""COMPUTED_VALUE"""),44050)</f>
        <v>44050</v>
      </c>
      <c r="R56" t="str">
        <f ca="1">IFERROR(__xludf.DUMMYFUNCTION("""COMPUTED_VALUE"""),"ХАРЬКОВ-БАЛ")</f>
        <v>ХАРЬКОВ-БАЛ</v>
      </c>
      <c r="S56" t="str">
        <f ca="1">IFERROR(__xludf.DUMMYFUNCTION("""COMPUTED_VALUE"""),"06.08.21 17-00")</f>
        <v>06.08.21 17-00</v>
      </c>
      <c r="T56">
        <f ca="1">IFERROR(__xludf.DUMMYFUNCTION("""COMPUTED_VALUE"""),1494)</f>
        <v>1494</v>
      </c>
      <c r="U56" t="str">
        <f ca="1">IFERROR(__xludf.DUMMYFUNCTION("""COMPUTED_VALUE"""),"24.01.2024 ТР-1")</f>
        <v>24.01.2024 ТР-1</v>
      </c>
      <c r="Z56" t="str">
        <f ca="1">IFERROR(__xludf.DUMMYFUNCTION("""COMPUTED_VALUE"""),"ООО «УКРТРАНСЛОДЖИСТИК»")</f>
        <v>ООО «УКРТРАНСЛОДЖИСТИК»</v>
      </c>
      <c r="AA56" t="str">
        <f ca="1">IFERROR(__xludf.DUMMYFUNCTION("""COMPUTED_VALUE"""),"11-217")</f>
        <v>11-217</v>
      </c>
      <c r="AB56" t="str">
        <f ca="1">IFERROR(__xludf.DUMMYFUNCTION("""COMPUTED_VALUE"""),"32 Ю-ЗАП")</f>
        <v>32 Ю-ЗАП</v>
      </c>
      <c r="AC56" t="str">
        <f ca="1">IFERROR(__xludf.DUMMYFUNCTION("""COMPUTED_VALUE"""),"33000 ЖМЕРИНКА")</f>
        <v>33000 ЖМЕРИНКА</v>
      </c>
      <c r="AD56" t="str">
        <f ca="1">IFERROR(__xludf.DUMMYFUNCTION("""COMPUTED_VALUE"""),"30.01.21 17-53")</f>
        <v>30.01.21 17-53</v>
      </c>
      <c r="AE56" t="str">
        <f ca="1">IFERROR(__xludf.DUMMYFUNCTION("""COMPUTED_VALUE"""),"570 ИCТEК КAЛЕНДАРНЫЙ CPOК ДEПOВCКОГО PEМOНТA")</f>
        <v>570 ИCТEК КAЛЕНДАРНЫЙ CPOК ДEПOВCКОГО PEМOНТA</v>
      </c>
      <c r="AF56" t="str">
        <f ca="1">IFERROR(__xludf.DUMMYFUNCTION("""COMPUTED_VALUE"""),"32 Ю-ЗАП")</f>
        <v>32 Ю-ЗАП</v>
      </c>
      <c r="AG56" t="str">
        <f ca="1">IFERROR(__xludf.DUMMYFUNCTION("""COMPUTED_VALUE"""),"33000 ЖМЕРИНКА")</f>
        <v>33000 ЖМЕРИНКА</v>
      </c>
      <c r="AH56" t="str">
        <f ca="1">IFERROR(__xludf.DUMMYFUNCTION("""COMPUTED_VALUE"""),"13.02.21 10-49")</f>
        <v>13.02.21 10-49</v>
      </c>
      <c r="AI56" s="21">
        <f ca="1">IFERROR(__xludf.DUMMYFUNCTION("""COMPUTED_VALUE"""),44420.3576504629)</f>
        <v>44420.357650462902</v>
      </c>
    </row>
    <row r="57" spans="1:35" ht="13" x14ac:dyDescent="0.15">
      <c r="A57">
        <f ca="1">IFERROR(__xludf.DUMMYFUNCTION("""COMPUTED_VALUE"""),136)</f>
        <v>136</v>
      </c>
      <c r="B57" t="str">
        <f ca="1">IFERROR(__xludf.DUMMYFUNCTION("""COMPUTED_VALUE"""),"Кнауф")</f>
        <v>Кнауф</v>
      </c>
      <c r="C57" t="str">
        <f ca="1">IFERROR(__xludf.DUMMYFUNCTION("""COMPUTED_VALUE"""),"Трансфорвардинг")</f>
        <v>Трансфорвардинг</v>
      </c>
      <c r="D57">
        <f ca="1">IFERROR(__xludf.DUMMYFUNCTION("""COMPUTED_VALUE"""),52427580)</f>
        <v>52427580</v>
      </c>
      <c r="E57" t="str">
        <f ca="1">IFERROR(__xludf.DUMMYFUNCTION("""COMPUTED_VALUE"""),"20 КРЫТЫЕ")</f>
        <v>20 КРЫТЫЕ</v>
      </c>
      <c r="F57">
        <f ca="1">IFERROR(__xludf.DUMMYFUNCTION("""COMPUTED_VALUE"""),28114)</f>
        <v>28114</v>
      </c>
      <c r="G57" t="str">
        <f ca="1">IFERROR(__xludf.DUMMYFUNCTION("""COMPUTED_VALUE"""),"ЦЕМЕНТ ПР")</f>
        <v>ЦЕМЕНТ ПР</v>
      </c>
      <c r="H57">
        <f ca="1">IFERROR(__xludf.DUMMYFUNCTION("""COMPUTED_VALUE"""),68)</f>
        <v>68</v>
      </c>
      <c r="I57">
        <f ca="1">IFERROR(__xludf.DUMMYFUNCTION("""COMPUTED_VALUE"""),3553)</f>
        <v>3553</v>
      </c>
      <c r="J57" t="str">
        <f ca="1">IFERROR(__xludf.DUMMYFUNCTION("""COMPUTED_VALUE"""),"2834 (37000-715-42500) ЛЬВОВ - КРЕМЕНЧУГ")</f>
        <v>2834 (37000-715-42500) ЛЬВОВ - КРЕМЕНЧУГ</v>
      </c>
      <c r="K57">
        <f ca="1">IFERROR(__xludf.DUMMYFUNCTION("""COMPUTED_VALUE"""),34200)</f>
        <v>34200</v>
      </c>
      <c r="L57" t="str">
        <f ca="1">IFERROR(__xludf.DUMMYFUNCTION("""COMPUTED_VALUE"""),"РАЗИНО")</f>
        <v>РАЗИНО</v>
      </c>
      <c r="M57" t="str">
        <f ca="1">IFERROR(__xludf.DUMMYFUNCTION("""COMPUTED_VALUE"""),"12.08.21 08-08")</f>
        <v>12.08.21 08-08</v>
      </c>
      <c r="N57" t="str">
        <f ca="1">IFERROR(__xludf.DUMMYFUNCTION("""COMPUTED_VALUE"""),"03 ПРОС")</f>
        <v>03 ПРОС</v>
      </c>
      <c r="O57">
        <f ca="1">IFERROR(__xludf.DUMMYFUNCTION("""COMPUTED_VALUE"""),44090)</f>
        <v>44090</v>
      </c>
      <c r="P57" t="str">
        <f ca="1">IFERROR(__xludf.DUMMYFUNCTION("""COMPUTED_VALUE"""),"ЗАЛЮТИНО")</f>
        <v>ЗАЛЮТИНО</v>
      </c>
      <c r="Q57">
        <f ca="1">IFERROR(__xludf.DUMMYFUNCTION("""COMPUTED_VALUE"""),38830)</f>
        <v>38830</v>
      </c>
      <c r="R57" t="str">
        <f ca="1">IFERROR(__xludf.DUMMYFUNCTION("""COMPUTED_VALUE"""),"ЯМНИЦА")</f>
        <v>ЯМНИЦА</v>
      </c>
      <c r="S57" t="str">
        <f ca="1">IFERROR(__xludf.DUMMYFUNCTION("""COMPUTED_VALUE"""),"06.08.21 07-05")</f>
        <v>06.08.21 07-05</v>
      </c>
      <c r="T57">
        <f ca="1">IFERROR(__xludf.DUMMYFUNCTION("""COMPUTED_VALUE"""),8199)</f>
        <v>8199</v>
      </c>
      <c r="U57" t="str">
        <f ca="1">IFERROR(__xludf.DUMMYFUNCTION("""COMPUTED_VALUE"""),"28.12.2022 ДР")</f>
        <v>28.12.2022 ДР</v>
      </c>
      <c r="Z57" t="str">
        <f ca="1">IFERROR(__xludf.DUMMYFUNCTION("""COMPUTED_VALUE"""),"ЧАО «ТРАНСФОРВАРДИНГ ЛИМИТЕД АГ»")</f>
        <v>ЧАО «ТРАНСФОРВАРДИНГ ЛИМИТЕД АГ»</v>
      </c>
      <c r="AA57" t="str">
        <f ca="1">IFERROR(__xludf.DUMMYFUNCTION("""COMPUTED_VALUE"""),"11-217")</f>
        <v>11-217</v>
      </c>
      <c r="AB57" t="str">
        <f ca="1">IFERROR(__xludf.DUMMYFUNCTION("""COMPUTED_VALUE"""),"48 ДОН")</f>
        <v>48 ДОН</v>
      </c>
      <c r="AC57" t="str">
        <f ca="1">IFERROR(__xludf.DUMMYFUNCTION("""COMPUTED_VALUE"""),"49000 ЛИМАН")</f>
        <v>49000 ЛИМАН</v>
      </c>
      <c r="AD57" t="str">
        <f ca="1">IFERROR(__xludf.DUMMYFUNCTION("""COMPUTED_VALUE"""),"19.01.21 00-40")</f>
        <v>19.01.21 00-40</v>
      </c>
      <c r="AE57" t="str">
        <f ca="1">IFERROR(__xludf.DUMMYFUNCTION("""COMPUTED_VALUE"""),"537 НEИCПPAВНOCТЬ ЗAПOPA ДВEPИ")</f>
        <v>537 НEИCПPAВНOCТЬ ЗAПOPA ДВEPИ</v>
      </c>
      <c r="AF57" t="str">
        <f ca="1">IFERROR(__xludf.DUMMYFUNCTION("""COMPUTED_VALUE"""),"48 ДОН")</f>
        <v>48 ДОН</v>
      </c>
      <c r="AG57" t="str">
        <f ca="1">IFERROR(__xludf.DUMMYFUNCTION("""COMPUTED_VALUE"""),"49000 ЛИМАН")</f>
        <v>49000 ЛИМАН</v>
      </c>
      <c r="AH57" t="str">
        <f ca="1">IFERROR(__xludf.DUMMYFUNCTION("""COMPUTED_VALUE"""),"19.01.21 17-00")</f>
        <v>19.01.21 17-00</v>
      </c>
      <c r="AI57" s="21">
        <f ca="1">IFERROR(__xludf.DUMMYFUNCTION("""COMPUTED_VALUE"""),44420.3576504629)</f>
        <v>44420.357650462902</v>
      </c>
    </row>
    <row r="58" spans="1:35" ht="13" x14ac:dyDescent="0.15">
      <c r="A58">
        <f ca="1">IFERROR(__xludf.DUMMYFUNCTION("""COMPUTED_VALUE"""),137)</f>
        <v>137</v>
      </c>
      <c r="B58" t="str">
        <f ca="1">IFERROR(__xludf.DUMMYFUNCTION("""COMPUTED_VALUE"""),"Альта Виста")</f>
        <v>Альта Виста</v>
      </c>
      <c r="C58" t="str">
        <f ca="1">IFERROR(__xludf.DUMMYFUNCTION("""COMPUTED_VALUE"""),"Трансфорвардинг")</f>
        <v>Трансфорвардинг</v>
      </c>
      <c r="D58">
        <f ca="1">IFERROR(__xludf.DUMMYFUNCTION("""COMPUTED_VALUE"""),52456613)</f>
        <v>52456613</v>
      </c>
      <c r="E58" t="str">
        <f ca="1">IFERROR(__xludf.DUMMYFUNCTION("""COMPUTED_VALUE"""),"20 КРЫТЫЕ")</f>
        <v>20 КРЫТЫЕ</v>
      </c>
      <c r="F58">
        <f ca="1">IFERROR(__xludf.DUMMYFUNCTION("""COMPUTED_VALUE"""),28114)</f>
        <v>28114</v>
      </c>
      <c r="G58" t="str">
        <f ca="1">IFERROR(__xludf.DUMMYFUNCTION("""COMPUTED_VALUE"""),"ЦЕМЕНТ ПР")</f>
        <v>ЦЕМЕНТ ПР</v>
      </c>
      <c r="H58">
        <f ca="1">IFERROR(__xludf.DUMMYFUNCTION("""COMPUTED_VALUE"""),68)</f>
        <v>68</v>
      </c>
      <c r="I58">
        <f ca="1">IFERROR(__xludf.DUMMYFUNCTION("""COMPUTED_VALUE"""),1494)</f>
        <v>1494</v>
      </c>
      <c r="J58" t="str">
        <f ca="1">IFERROR(__xludf.DUMMYFUNCTION("""COMPUTED_VALUE"""),"1111 (38830-084-37000) ЯМНИЦА - ЛЬВОВ")</f>
        <v>1111 (38830-084-37000) ЯМНИЦА - ЛЬВОВ</v>
      </c>
      <c r="K58">
        <f ca="1">IFERROR(__xludf.DUMMYFUNCTION("""COMPUTED_VALUE"""),38830)</f>
        <v>38830</v>
      </c>
      <c r="L58" t="str">
        <f ca="1">IFERROR(__xludf.DUMMYFUNCTION("""COMPUTED_VALUE"""),"ЯМНИЦА")</f>
        <v>ЯМНИЦА</v>
      </c>
      <c r="M58" t="str">
        <f ca="1">IFERROR(__xludf.DUMMYFUNCTION("""COMPUTED_VALUE"""),"11.08.21 13-19")</f>
        <v>11.08.21 13-19</v>
      </c>
      <c r="N58" t="str">
        <f ca="1">IFERROR(__xludf.DUMMYFUNCTION("""COMPUTED_VALUE"""),"05 ФОРМ")</f>
        <v>05 ФОРМ</v>
      </c>
      <c r="O58">
        <f ca="1">IFERROR(__xludf.DUMMYFUNCTION("""COMPUTED_VALUE"""),44050)</f>
        <v>44050</v>
      </c>
      <c r="P58" t="str">
        <f ca="1">IFERROR(__xludf.DUMMYFUNCTION("""COMPUTED_VALUE"""),"ХАРЬКОВ-БАЛ")</f>
        <v>ХАРЬКОВ-БАЛ</v>
      </c>
      <c r="Q58">
        <f ca="1">IFERROR(__xludf.DUMMYFUNCTION("""COMPUTED_VALUE"""),38830)</f>
        <v>38830</v>
      </c>
      <c r="R58" t="str">
        <f ca="1">IFERROR(__xludf.DUMMYFUNCTION("""COMPUTED_VALUE"""),"ЯМНИЦА")</f>
        <v>ЯМНИЦА</v>
      </c>
      <c r="S58" t="str">
        <f ca="1">IFERROR(__xludf.DUMMYFUNCTION("""COMPUTED_VALUE"""),"11.08.21 09-15")</f>
        <v>11.08.21 09-15</v>
      </c>
      <c r="T58">
        <f ca="1">IFERROR(__xludf.DUMMYFUNCTION("""COMPUTED_VALUE"""),8199)</f>
        <v>8199</v>
      </c>
      <c r="U58" t="str">
        <f ca="1">IFERROR(__xludf.DUMMYFUNCTION("""COMPUTED_VALUE"""),"17.12.2021 ДР")</f>
        <v>17.12.2021 ДР</v>
      </c>
      <c r="Z58" t="str">
        <f ca="1">IFERROR(__xludf.DUMMYFUNCTION("""COMPUTED_VALUE"""),"ЧАО «ТРАНСФОРВАРДИНГ ЛИМИТЕД АГ»")</f>
        <v>ЧАО «ТРАНСФОРВАРДИНГ ЛИМИТЕД АГ»</v>
      </c>
      <c r="AA58" t="str">
        <f ca="1">IFERROR(__xludf.DUMMYFUNCTION("""COMPUTED_VALUE"""),"11-217")</f>
        <v>11-217</v>
      </c>
      <c r="AB58" t="str">
        <f ca="1">IFERROR(__xludf.DUMMYFUNCTION("""COMPUTED_VALUE"""),"48 ДОН")</f>
        <v>48 ДОН</v>
      </c>
      <c r="AC58" t="str">
        <f ca="1">IFERROR(__xludf.DUMMYFUNCTION("""COMPUTED_VALUE"""),"49480 СОЛЬ")</f>
        <v>49480 СОЛЬ</v>
      </c>
      <c r="AD58" t="str">
        <f ca="1">IFERROR(__xludf.DUMMYFUNCTION("""COMPUTED_VALUE"""),"31.05.21 11-00")</f>
        <v>31.05.21 11-00</v>
      </c>
      <c r="AE58" t="str">
        <f ca="1">IFERROR(__xludf.DUMMYFUNCTION("""COMPUTED_VALUE"""),"563")</f>
        <v>563</v>
      </c>
      <c r="AF58" t="str">
        <f ca="1">IFERROR(__xludf.DUMMYFUNCTION("""COMPUTED_VALUE"""),"48 ДОН")</f>
        <v>48 ДОН</v>
      </c>
      <c r="AG58" t="str">
        <f ca="1">IFERROR(__xludf.DUMMYFUNCTION("""COMPUTED_VALUE"""),"49480 СОЛЬ")</f>
        <v>49480 СОЛЬ</v>
      </c>
      <c r="AH58" t="str">
        <f ca="1">IFERROR(__xludf.DUMMYFUNCTION("""COMPUTED_VALUE"""),"01.06.21 16-30")</f>
        <v>01.06.21 16-30</v>
      </c>
      <c r="AI58" s="21">
        <f ca="1">IFERROR(__xludf.DUMMYFUNCTION("""COMPUTED_VALUE"""),44420.3576504629)</f>
        <v>44420.357650462902</v>
      </c>
    </row>
    <row r="59" spans="1:35" ht="13" x14ac:dyDescent="0.15">
      <c r="A59">
        <f ca="1">IFERROR(__xludf.DUMMYFUNCTION("""COMPUTED_VALUE"""),138)</f>
        <v>138</v>
      </c>
      <c r="B59" t="str">
        <f ca="1">IFERROR(__xludf.DUMMYFUNCTION("""COMPUTED_VALUE"""),"Кнауф")</f>
        <v>Кнауф</v>
      </c>
      <c r="C59" t="str">
        <f ca="1">IFERROR(__xludf.DUMMYFUNCTION("""COMPUTED_VALUE"""),"Трансфорвардинг")</f>
        <v>Трансфорвардинг</v>
      </c>
      <c r="D59">
        <f ca="1">IFERROR(__xludf.DUMMYFUNCTION("""COMPUTED_VALUE"""),52456688)</f>
        <v>52456688</v>
      </c>
      <c r="E59" t="str">
        <f ca="1">IFERROR(__xludf.DUMMYFUNCTION("""COMPUTED_VALUE"""),"20 КРЫТЫЕ")</f>
        <v>20 КРЫТЫЕ</v>
      </c>
      <c r="F59">
        <f ca="1">IFERROR(__xludf.DUMMYFUNCTION("""COMPUTED_VALUE"""),23304)</f>
        <v>23304</v>
      </c>
      <c r="G59" t="str">
        <f ca="1">IFERROR(__xludf.DUMMYFUNCTION("""COMPUTED_VALUE"""),"ГИПС ПР")</f>
        <v>ГИПС ПР</v>
      </c>
      <c r="H59">
        <f ca="1">IFERROR(__xludf.DUMMYFUNCTION("""COMPUTED_VALUE"""),67)</f>
        <v>67</v>
      </c>
      <c r="I59">
        <f ca="1">IFERROR(__xludf.DUMMYFUNCTION("""COMPUTED_VALUE"""),2567)</f>
        <v>2567</v>
      </c>
      <c r="J59" t="str">
        <f ca="1">IFERROR(__xludf.DUMMYFUNCTION("""COMPUTED_VALUE"""),"3641 (40000-331-40510) ОДЕССА-СОРТ - ОДЕССА-ЗАС I")</f>
        <v>3641 (40000-331-40510) ОДЕССА-СОРТ - ОДЕССА-ЗАС I</v>
      </c>
      <c r="K59">
        <f ca="1">IFERROR(__xludf.DUMMYFUNCTION("""COMPUTED_VALUE"""),40510)</f>
        <v>40510</v>
      </c>
      <c r="L59" t="str">
        <f ca="1">IFERROR(__xludf.DUMMYFUNCTION("""COMPUTED_VALUE"""),"ОДЕССА-ЗАС I")</f>
        <v>ОДЕССА-ЗАС I</v>
      </c>
      <c r="M59" t="str">
        <f ca="1">IFERROR(__xludf.DUMMYFUNCTION("""COMPUTED_VALUE"""),"11.08.21 15-34")</f>
        <v>11.08.21 15-34</v>
      </c>
      <c r="N59" t="str">
        <f ca="1">IFERROR(__xludf.DUMMYFUNCTION("""COMPUTED_VALUE"""),"71 ПРИЦ")</f>
        <v>71 ПРИЦ</v>
      </c>
      <c r="O59">
        <f ca="1">IFERROR(__xludf.DUMMYFUNCTION("""COMPUTED_VALUE"""),40510)</f>
        <v>40510</v>
      </c>
      <c r="P59" t="str">
        <f ca="1">IFERROR(__xludf.DUMMYFUNCTION("""COMPUTED_VALUE"""),"ОДЕССА-ЗАС I")</f>
        <v>ОДЕССА-ЗАС I</v>
      </c>
      <c r="Q59">
        <f ca="1">IFERROR(__xludf.DUMMYFUNCTION("""COMPUTED_VALUE"""),49620)</f>
        <v>49620</v>
      </c>
      <c r="R59" t="str">
        <f ca="1">IFERROR(__xludf.DUMMYFUNCTION("""COMPUTED_VALUE"""),"ДЕКОНСКАЯ")</f>
        <v>ДЕКОНСКАЯ</v>
      </c>
      <c r="S59" t="str">
        <f ca="1">IFERROR(__xludf.DUMMYFUNCTION("""COMPUTED_VALUE"""),"31.07.21 07-30")</f>
        <v>31.07.21 07-30</v>
      </c>
      <c r="T59">
        <f ca="1">IFERROR(__xludf.DUMMYFUNCTION("""COMPUTED_VALUE"""),4149)</f>
        <v>4149</v>
      </c>
      <c r="U59" t="str">
        <f ca="1">IFERROR(__xludf.DUMMYFUNCTION("""COMPUTED_VALUE"""),"16.03.2023 ДР")</f>
        <v>16.03.2023 ДР</v>
      </c>
      <c r="Z59" t="str">
        <f ca="1">IFERROR(__xludf.DUMMYFUNCTION("""COMPUTED_VALUE"""),"ЧАО «ТРАНСФОРВАРДИНГ ЛИМИТЕД АГ»")</f>
        <v>ЧАО «ТРАНСФОРВАРДИНГ ЛИМИТЕД АГ»</v>
      </c>
      <c r="AA59" t="str">
        <f ca="1">IFERROR(__xludf.DUMMYFUNCTION("""COMPUTED_VALUE"""),"11-217")</f>
        <v>11-217</v>
      </c>
      <c r="AB59" t="str">
        <f ca="1">IFERROR(__xludf.DUMMYFUNCTION("""COMPUTED_VALUE"""),"45 ПРИДН")</f>
        <v>45 ПРИДН</v>
      </c>
      <c r="AC59" t="str">
        <f ca="1">IFERROR(__xludf.DUMMYFUNCTION("""COMPUTED_VALUE"""),"45000 НИЖНЕДН-УЗЕЛ")</f>
        <v>45000 НИЖНЕДН-УЗЕЛ</v>
      </c>
      <c r="AD59" t="str">
        <f ca="1">IFERROR(__xludf.DUMMYFUNCTION("""COMPUTED_VALUE"""),"02.12.20 12-50")</f>
        <v>02.12.20 12-50</v>
      </c>
      <c r="AE59" t="str">
        <f ca="1">IFERROR(__xludf.DUMMYFUNCTION("""COMPUTED_VALUE"""),"537 НEИCПPAВНOCТЬ ЗAПOPA ДВEPИ")</f>
        <v>537 НEИCПPAВНOCТЬ ЗAПOPA ДВEPИ</v>
      </c>
      <c r="AF59" t="str">
        <f ca="1">IFERROR(__xludf.DUMMYFUNCTION("""COMPUTED_VALUE"""),"45 ПРИДН")</f>
        <v>45 ПРИДН</v>
      </c>
      <c r="AG59" t="str">
        <f ca="1">IFERROR(__xludf.DUMMYFUNCTION("""COMPUTED_VALUE"""),"45000 НИЖНЕДН-УЗЕЛ")</f>
        <v>45000 НИЖНЕДН-УЗЕЛ</v>
      </c>
      <c r="AH59" t="str">
        <f ca="1">IFERROR(__xludf.DUMMYFUNCTION("""COMPUTED_VALUE"""),"13.12.20 16-30")</f>
        <v>13.12.20 16-30</v>
      </c>
      <c r="AI59" s="21">
        <f ca="1">IFERROR(__xludf.DUMMYFUNCTION("""COMPUTED_VALUE"""),44420.3576504629)</f>
        <v>44420.357650462902</v>
      </c>
    </row>
    <row r="60" spans="1:35" ht="13" x14ac:dyDescent="0.15">
      <c r="A60">
        <f ca="1">IFERROR(__xludf.DUMMYFUNCTION("""COMPUTED_VALUE"""),139)</f>
        <v>139</v>
      </c>
      <c r="B60" t="str">
        <f ca="1">IFERROR(__xludf.DUMMYFUNCTION("""COMPUTED_VALUE"""),"Кнауф")</f>
        <v>Кнауф</v>
      </c>
      <c r="C60" t="str">
        <f ca="1">IFERROR(__xludf.DUMMYFUNCTION("""COMPUTED_VALUE"""),"Трансфорвардинг")</f>
        <v>Трансфорвардинг</v>
      </c>
      <c r="D60">
        <f ca="1">IFERROR(__xludf.DUMMYFUNCTION("""COMPUTED_VALUE"""),52456753)</f>
        <v>52456753</v>
      </c>
      <c r="E60" t="str">
        <f ca="1">IFERROR(__xludf.DUMMYFUNCTION("""COMPUTED_VALUE"""),"20 КРЫТЫЕ")</f>
        <v>20 КРЫТЫЕ</v>
      </c>
      <c r="F60">
        <f ca="1">IFERROR(__xludf.DUMMYFUNCTION("""COMPUTED_VALUE"""),23304)</f>
        <v>23304</v>
      </c>
      <c r="G60" t="str">
        <f ca="1">IFERROR(__xludf.DUMMYFUNCTION("""COMPUTED_VALUE"""),"ГИПС ПР")</f>
        <v>ГИПС ПР</v>
      </c>
      <c r="H60">
        <f ca="1">IFERROR(__xludf.DUMMYFUNCTION("""COMPUTED_VALUE"""),68)</f>
        <v>68</v>
      </c>
      <c r="I60">
        <f ca="1">IFERROR(__xludf.DUMMYFUNCTION("""COMPUTED_VALUE"""),3817)</f>
        <v>3817</v>
      </c>
      <c r="J60" t="str">
        <f ca="1">IFERROR(__xludf.DUMMYFUNCTION("""COMPUTED_VALUE"""),"3107 (40570-022-40300) РАЗД-СОРТИРО - ЧЕРНОМ(ТИС Э")</f>
        <v>3107 (40570-022-40300) РАЗД-СОРТИРО - ЧЕРНОМ(ТИС Э</v>
      </c>
      <c r="K60">
        <f ca="1">IFERROR(__xludf.DUMMYFUNCTION("""COMPUTED_VALUE"""),40570)</f>
        <v>40570</v>
      </c>
      <c r="L60" t="str">
        <f ca="1">IFERROR(__xludf.DUMMYFUNCTION("""COMPUTED_VALUE"""),"РАЗД-СОРТИРО")</f>
        <v>РАЗД-СОРТИРО</v>
      </c>
      <c r="M60" t="str">
        <f ca="1">IFERROR(__xludf.DUMMYFUNCTION("""COMPUTED_VALUE"""),"10.08.21 12-49")</f>
        <v>10.08.21 12-49</v>
      </c>
      <c r="N60" t="str">
        <f ca="1">IFERROR(__xludf.DUMMYFUNCTION("""COMPUTED_VALUE"""),"85 ПРСТ")</f>
        <v>85 ПРСТ</v>
      </c>
      <c r="O60">
        <f ca="1">IFERROR(__xludf.DUMMYFUNCTION("""COMPUTED_VALUE"""),40510)</f>
        <v>40510</v>
      </c>
      <c r="P60" t="str">
        <f ca="1">IFERROR(__xludf.DUMMYFUNCTION("""COMPUTED_VALUE"""),"ОДЕССА-ЗАС I")</f>
        <v>ОДЕССА-ЗАС I</v>
      </c>
      <c r="Q60">
        <f ca="1">IFERROR(__xludf.DUMMYFUNCTION("""COMPUTED_VALUE"""),49620)</f>
        <v>49620</v>
      </c>
      <c r="R60" t="str">
        <f ca="1">IFERROR(__xludf.DUMMYFUNCTION("""COMPUTED_VALUE"""),"ДЕКОНСКАЯ")</f>
        <v>ДЕКОНСКАЯ</v>
      </c>
      <c r="S60" t="str">
        <f ca="1">IFERROR(__xludf.DUMMYFUNCTION("""COMPUTED_VALUE"""),"04.08.21 11-30")</f>
        <v>04.08.21 11-30</v>
      </c>
      <c r="T60">
        <f ca="1">IFERROR(__xludf.DUMMYFUNCTION("""COMPUTED_VALUE"""),4149)</f>
        <v>4149</v>
      </c>
      <c r="U60" t="str">
        <f ca="1">IFERROR(__xludf.DUMMYFUNCTION("""COMPUTED_VALUE"""),"04.01.2022 ДР")</f>
        <v>04.01.2022 ДР</v>
      </c>
      <c r="Z60" t="str">
        <f ca="1">IFERROR(__xludf.DUMMYFUNCTION("""COMPUTED_VALUE"""),"ЧАО «ТРАНСФОРВАРДИНГ ЛИМИТЕД АГ»")</f>
        <v>ЧАО «ТРАНСФОРВАРДИНГ ЛИМИТЕД АГ»</v>
      </c>
      <c r="AA60" t="str">
        <f ca="1">IFERROR(__xludf.DUMMYFUNCTION("""COMPUTED_VALUE"""),"11-217")</f>
        <v>11-217</v>
      </c>
      <c r="AB60" t="str">
        <f ca="1">IFERROR(__xludf.DUMMYFUNCTION("""COMPUTED_VALUE"""),"43 ЮЖН")</f>
        <v>43 ЮЖН</v>
      </c>
      <c r="AC60" t="str">
        <f ca="1">IFERROR(__xludf.DUMMYFUNCTION("""COMPUTED_VALUE"""),"43000 КУПЯНСК-СОРТ")</f>
        <v>43000 КУПЯНСК-СОРТ</v>
      </c>
      <c r="AD60" t="str">
        <f ca="1">IFERROR(__xludf.DUMMYFUNCTION("""COMPUTED_VALUE"""),"13.12.18 17-04")</f>
        <v>13.12.18 17-04</v>
      </c>
      <c r="AE60" t="str">
        <f ca="1">IFERROR(__xludf.DUMMYFUNCTION("""COMPUTED_VALUE"""),"571 ИCТEК КAЛЕНДАРНЫЙ CPOК КAПИТAЛЬНОГО PEМOНТA")</f>
        <v>571 ИCТEК КAЛЕНДАРНЫЙ CPOК КAПИТAЛЬНОГО PEМOНТA</v>
      </c>
      <c r="AF60" t="str">
        <f ca="1">IFERROR(__xludf.DUMMYFUNCTION("""COMPUTED_VALUE"""),"43 ЮЖН")</f>
        <v>43 ЮЖН</v>
      </c>
      <c r="AG60" t="str">
        <f ca="1">IFERROR(__xludf.DUMMYFUNCTION("""COMPUTED_VALUE"""),"43000 КУПЯНСК-СОРТ")</f>
        <v>43000 КУПЯНСК-СОРТ</v>
      </c>
      <c r="AH60" t="str">
        <f ca="1">IFERROR(__xludf.DUMMYFUNCTION("""COMPUTED_VALUE"""),"04.01.19 10-45")</f>
        <v>04.01.19 10-45</v>
      </c>
      <c r="AI60" s="21">
        <f ca="1">IFERROR(__xludf.DUMMYFUNCTION("""COMPUTED_VALUE"""),44420.3576504629)</f>
        <v>44420.357650462902</v>
      </c>
    </row>
    <row r="61" spans="1:35" ht="13" x14ac:dyDescent="0.15">
      <c r="A61">
        <f ca="1">IFERROR(__xludf.DUMMYFUNCTION("""COMPUTED_VALUE"""),140)</f>
        <v>140</v>
      </c>
      <c r="B61" t="str">
        <f ca="1">IFERROR(__xludf.DUMMYFUNCTION("""COMPUTED_VALUE"""),"Руссоль")</f>
        <v>Руссоль</v>
      </c>
      <c r="C61" t="str">
        <f ca="1">IFERROR(__xludf.DUMMYFUNCTION("""COMPUTED_VALUE"""),"Трансфорвардинг")</f>
        <v>Трансфорвардинг</v>
      </c>
      <c r="D61">
        <f ca="1">IFERROR(__xludf.DUMMYFUNCTION("""COMPUTED_VALUE"""),52456951)</f>
        <v>52456951</v>
      </c>
      <c r="E61" t="str">
        <f ca="1">IFERROR(__xludf.DUMMYFUNCTION("""COMPUTED_VALUE"""),"20 КРЫТЫЕ")</f>
        <v>20 КРЫТЫЕ</v>
      </c>
      <c r="F61">
        <f ca="1">IFERROR(__xludf.DUMMYFUNCTION("""COMPUTED_VALUE"""),28114)</f>
        <v>28114</v>
      </c>
      <c r="G61" t="str">
        <f ca="1">IFERROR(__xludf.DUMMYFUNCTION("""COMPUTED_VALUE"""),"ЦЕМЕНТ ПР")</f>
        <v>ЦЕМЕНТ ПР</v>
      </c>
      <c r="H61">
        <f ca="1">IFERROR(__xludf.DUMMYFUNCTION("""COMPUTED_VALUE"""),68)</f>
        <v>68</v>
      </c>
      <c r="I61">
        <f ca="1">IFERROR(__xludf.DUMMYFUNCTION("""COMPUTED_VALUE"""),1494)</f>
        <v>1494</v>
      </c>
      <c r="J61" t="str">
        <f ca="1">IFERROR(__xludf.DUMMYFUNCTION("""COMPUTED_VALUE"""),"1111 (38830-088-37000) ЯМНИЦА - ЛЬВОВ")</f>
        <v>1111 (38830-088-37000) ЯМНИЦА - ЛЬВОВ</v>
      </c>
      <c r="K61">
        <f ca="1">IFERROR(__xludf.DUMMYFUNCTION("""COMPUTED_VALUE"""),38830)</f>
        <v>38830</v>
      </c>
      <c r="L61" t="str">
        <f ca="1">IFERROR(__xludf.DUMMYFUNCTION("""COMPUTED_VALUE"""),"ЯМНИЦА")</f>
        <v>ЯМНИЦА</v>
      </c>
      <c r="M61" t="str">
        <f ca="1">IFERROR(__xludf.DUMMYFUNCTION("""COMPUTED_VALUE"""),"12.08.21 02-02")</f>
        <v>12.08.21 02-02</v>
      </c>
      <c r="N61" t="str">
        <f ca="1">IFERROR(__xludf.DUMMYFUNCTION("""COMPUTED_VALUE"""),"72 ОТЦ")</f>
        <v>72 ОТЦ</v>
      </c>
      <c r="O61">
        <f ca="1">IFERROR(__xludf.DUMMYFUNCTION("""COMPUTED_VALUE"""),44050)</f>
        <v>44050</v>
      </c>
      <c r="P61" t="str">
        <f ca="1">IFERROR(__xludf.DUMMYFUNCTION("""COMPUTED_VALUE"""),"ХАРЬКОВ-БАЛ")</f>
        <v>ХАРЬКОВ-БАЛ</v>
      </c>
      <c r="Q61">
        <f ca="1">IFERROR(__xludf.DUMMYFUNCTION("""COMPUTED_VALUE"""),38830)</f>
        <v>38830</v>
      </c>
      <c r="R61" t="str">
        <f ca="1">IFERROR(__xludf.DUMMYFUNCTION("""COMPUTED_VALUE"""),"ЯМНИЦА")</f>
        <v>ЯМНИЦА</v>
      </c>
      <c r="S61" t="str">
        <f ca="1">IFERROR(__xludf.DUMMYFUNCTION("""COMPUTED_VALUE"""),"11.08.21 01-20")</f>
        <v>11.08.21 01-20</v>
      </c>
      <c r="T61">
        <f ca="1">IFERROR(__xludf.DUMMYFUNCTION("""COMPUTED_VALUE"""),8199)</f>
        <v>8199</v>
      </c>
      <c r="U61" t="str">
        <f ca="1">IFERROR(__xludf.DUMMYFUNCTION("""COMPUTED_VALUE"""),"09.02.2023 ТР-1")</f>
        <v>09.02.2023 ТР-1</v>
      </c>
      <c r="Z61" t="str">
        <f ca="1">IFERROR(__xludf.DUMMYFUNCTION("""COMPUTED_VALUE"""),"ЧАО «ТРАНСФОРВАРДИНГ ЛИМИТЕД АГ»")</f>
        <v>ЧАО «ТРАНСФОРВАРДИНГ ЛИМИТЕД АГ»</v>
      </c>
      <c r="AA61" t="str">
        <f ca="1">IFERROR(__xludf.DUMMYFUNCTION("""COMPUTED_VALUE"""),"11-217")</f>
        <v>11-217</v>
      </c>
      <c r="AB61" t="str">
        <f ca="1">IFERROR(__xludf.DUMMYFUNCTION("""COMPUTED_VALUE"""),"43 ЮЖН")</f>
        <v>43 ЮЖН</v>
      </c>
      <c r="AC61" t="str">
        <f ca="1">IFERROR(__xludf.DUMMYFUNCTION("""COMPUTED_VALUE"""),"43000 КУПЯНСК-СОРТ")</f>
        <v>43000 КУПЯНСК-СОРТ</v>
      </c>
      <c r="AD61" t="str">
        <f ca="1">IFERROR(__xludf.DUMMYFUNCTION("""COMPUTED_VALUE"""),"13.02.21 07-50")</f>
        <v>13.02.21 07-50</v>
      </c>
      <c r="AE61" t="str">
        <f ca="1">IFERROR(__xludf.DUMMYFUNCTION("""COMPUTED_VALUE"""),"570 ИCТEК КAЛЕНДАРНЫЙ CPOК ДEПOВCКОГО PEМOНТA")</f>
        <v>570 ИCТEК КAЛЕНДАРНЫЙ CPOК ДEПOВCКОГО PEМOНТA</v>
      </c>
      <c r="AF61" t="str">
        <f ca="1">IFERROR(__xludf.DUMMYFUNCTION("""COMPUTED_VALUE"""),"43 ЮЖН")</f>
        <v>43 ЮЖН</v>
      </c>
      <c r="AG61" t="str">
        <f ca="1">IFERROR(__xludf.DUMMYFUNCTION("""COMPUTED_VALUE"""),"43000 КУПЯНСК-СОРТ")</f>
        <v>43000 КУПЯНСК-СОРТ</v>
      </c>
      <c r="AH61" t="str">
        <f ca="1">IFERROR(__xludf.DUMMYFUNCTION("""COMPUTED_VALUE"""),"23.02.21 10-00")</f>
        <v>23.02.21 10-00</v>
      </c>
      <c r="AI61" s="21">
        <f ca="1">IFERROR(__xludf.DUMMYFUNCTION("""COMPUTED_VALUE"""),44420.3576504629)</f>
        <v>44420.357650462902</v>
      </c>
    </row>
    <row r="62" spans="1:35" ht="13" x14ac:dyDescent="0.15">
      <c r="A62">
        <f ca="1">IFERROR(__xludf.DUMMYFUNCTION("""COMPUTED_VALUE"""),141)</f>
        <v>141</v>
      </c>
      <c r="B62" t="str">
        <f ca="1">IFERROR(__xludf.DUMMYFUNCTION("""COMPUTED_VALUE"""),"Костанза")</f>
        <v>Костанза</v>
      </c>
      <c r="C62" t="str">
        <f ca="1">IFERROR(__xludf.DUMMYFUNCTION("""COMPUTED_VALUE"""),"Трансфорвардинг")</f>
        <v>Трансфорвардинг</v>
      </c>
      <c r="D62">
        <f ca="1">IFERROR(__xludf.DUMMYFUNCTION("""COMPUTED_VALUE"""),52456910)</f>
        <v>52456910</v>
      </c>
      <c r="E62" t="str">
        <f ca="1">IFERROR(__xludf.DUMMYFUNCTION("""COMPUTED_VALUE"""),"20 КРЫТЫЕ")</f>
        <v>20 КРЫТЫЕ</v>
      </c>
      <c r="F62">
        <f ca="1">IFERROR(__xludf.DUMMYFUNCTION("""COMPUTED_VALUE"""),23304)</f>
        <v>23304</v>
      </c>
      <c r="G62" t="str">
        <f ca="1">IFERROR(__xludf.DUMMYFUNCTION("""COMPUTED_VALUE"""),"ГИПС ПР")</f>
        <v>ГИПС ПР</v>
      </c>
      <c r="H62">
        <f ca="1">IFERROR(__xludf.DUMMYFUNCTION("""COMPUTED_VALUE"""),66)</f>
        <v>66</v>
      </c>
      <c r="I62">
        <f ca="1">IFERROR(__xludf.DUMMYFUNCTION("""COMPUTED_VALUE"""),4900)</f>
        <v>4900</v>
      </c>
      <c r="J62" t="str">
        <f ca="1">IFERROR(__xludf.DUMMYFUNCTION("""COMPUTED_VALUE"""),"1111 (49460-043-49000) БАХМУТ - ЛИМАН")</f>
        <v>1111 (49460-043-49000) БАХМУТ - ЛИМАН</v>
      </c>
      <c r="K62">
        <f ca="1">IFERROR(__xludf.DUMMYFUNCTION("""COMPUTED_VALUE"""),49460)</f>
        <v>49460</v>
      </c>
      <c r="L62" t="str">
        <f ca="1">IFERROR(__xludf.DUMMYFUNCTION("""COMPUTED_VALUE"""),"БАХМУТ")</f>
        <v>БАХМУТ</v>
      </c>
      <c r="M62" t="str">
        <f ca="1">IFERROR(__xludf.DUMMYFUNCTION("""COMPUTED_VALUE"""),"12.08.21 04-00")</f>
        <v>12.08.21 04-00</v>
      </c>
      <c r="N62" t="str">
        <f ca="1">IFERROR(__xludf.DUMMYFUNCTION("""COMPUTED_VALUE"""),"05 ФОРМ")</f>
        <v>05 ФОРМ</v>
      </c>
      <c r="O62">
        <f ca="1">IFERROR(__xludf.DUMMYFUNCTION("""COMPUTED_VALUE"""),37630)</f>
        <v>37630</v>
      </c>
      <c r="P62" t="str">
        <f ca="1">IFERROR(__xludf.DUMMYFUNCTION("""COMPUTED_VALUE"""),"ДРОГОБЫЧ")</f>
        <v>ДРОГОБЫЧ</v>
      </c>
      <c r="Q62">
        <f ca="1">IFERROR(__xludf.DUMMYFUNCTION("""COMPUTED_VALUE"""),49620)</f>
        <v>49620</v>
      </c>
      <c r="R62" t="str">
        <f ca="1">IFERROR(__xludf.DUMMYFUNCTION("""COMPUTED_VALUE"""),"ДЕКОНСКАЯ")</f>
        <v>ДЕКОНСКАЯ</v>
      </c>
      <c r="S62" t="str">
        <f ca="1">IFERROR(__xludf.DUMMYFUNCTION("""COMPUTED_VALUE"""),"10.08.21 21-00")</f>
        <v>10.08.21 21-00</v>
      </c>
      <c r="T62">
        <f ca="1">IFERROR(__xludf.DUMMYFUNCTION("""COMPUTED_VALUE"""),4149)</f>
        <v>4149</v>
      </c>
      <c r="U62" t="str">
        <f ca="1">IFERROR(__xludf.DUMMYFUNCTION("""COMPUTED_VALUE"""),"09.02.2023 ТР-1")</f>
        <v>09.02.2023 ТР-1</v>
      </c>
      <c r="Z62" t="str">
        <f ca="1">IFERROR(__xludf.DUMMYFUNCTION("""COMPUTED_VALUE"""),"ЧАО «ТРАНСФОРВАРДИНГ ЛИМИТЕД АГ»")</f>
        <v>ЧАО «ТРАНСФОРВАРДИНГ ЛИМИТЕД АГ»</v>
      </c>
      <c r="AA62" t="str">
        <f ca="1">IFERROR(__xludf.DUMMYFUNCTION("""COMPUTED_VALUE"""),"11-217")</f>
        <v>11-217</v>
      </c>
      <c r="AB62" t="str">
        <f ca="1">IFERROR(__xludf.DUMMYFUNCTION("""COMPUTED_VALUE"""),"43 ЮЖН")</f>
        <v>43 ЮЖН</v>
      </c>
      <c r="AC62" t="str">
        <f ca="1">IFERROR(__xludf.DUMMYFUNCTION("""COMPUTED_VALUE"""),"43000 КУПЯНСК-СОРТ")</f>
        <v>43000 КУПЯНСК-СОРТ</v>
      </c>
      <c r="AD62" t="str">
        <f ca="1">IFERROR(__xludf.DUMMYFUNCTION("""COMPUTED_VALUE"""),"13.02.21 07-50")</f>
        <v>13.02.21 07-50</v>
      </c>
      <c r="AE62" t="str">
        <f ca="1">IFERROR(__xludf.DUMMYFUNCTION("""COMPUTED_VALUE"""),"570 ИCТEК КAЛЕНДАРНЫЙ CPOК ДEПOВCКОГО PEМOНТA")</f>
        <v>570 ИCТEК КAЛЕНДАРНЫЙ CPOК ДEПOВCКОГО PEМOНТA</v>
      </c>
      <c r="AF62" t="str">
        <f ca="1">IFERROR(__xludf.DUMMYFUNCTION("""COMPUTED_VALUE"""),"43 ЮЖН")</f>
        <v>43 ЮЖН</v>
      </c>
      <c r="AG62" t="str">
        <f ca="1">IFERROR(__xludf.DUMMYFUNCTION("""COMPUTED_VALUE"""),"43000 КУПЯНСК-СОРТ")</f>
        <v>43000 КУПЯНСК-СОРТ</v>
      </c>
      <c r="AH62" t="str">
        <f ca="1">IFERROR(__xludf.DUMMYFUNCTION("""COMPUTED_VALUE"""),"25.02.21 08-30")</f>
        <v>25.02.21 08-30</v>
      </c>
      <c r="AI62" s="21">
        <f ca="1">IFERROR(__xludf.DUMMYFUNCTION("""COMPUTED_VALUE"""),44420.3576504629)</f>
        <v>44420.357650462902</v>
      </c>
    </row>
    <row r="63" spans="1:35" ht="13" x14ac:dyDescent="0.15">
      <c r="A63">
        <f ca="1">IFERROR(__xludf.DUMMYFUNCTION("""COMPUTED_VALUE"""),142)</f>
        <v>142</v>
      </c>
      <c r="B63" t="str">
        <f ca="1">IFERROR(__xludf.DUMMYFUNCTION("""COMPUTED_VALUE"""),"Костанза")</f>
        <v>Костанза</v>
      </c>
      <c r="C63" t="str">
        <f ca="1">IFERROR(__xludf.DUMMYFUNCTION("""COMPUTED_VALUE"""),"Сидрейл")</f>
        <v>Сидрейл</v>
      </c>
      <c r="D63">
        <f ca="1">IFERROR(__xludf.DUMMYFUNCTION("""COMPUTED_VALUE"""),23999451)</f>
        <v>23999451</v>
      </c>
      <c r="E63" t="str">
        <f ca="1">IFERROR(__xludf.DUMMYFUNCTION("""COMPUTED_VALUE"""),"20 КРЫТЫЕ")</f>
        <v>20 КРЫТЫЕ</v>
      </c>
      <c r="F63">
        <f ca="1">IFERROR(__xludf.DUMMYFUNCTION("""COMPUTED_VALUE"""),42103)</f>
        <v>42103</v>
      </c>
      <c r="G63" t="str">
        <f ca="1">IFERROR(__xludf.DUMMYFUNCTION("""COMPUTED_VALUE"""),"ВАГОНЫ ЖД СВ")</f>
        <v>ВАГОНЫ ЖД СВ</v>
      </c>
      <c r="H63">
        <f ca="1">IFERROR(__xludf.DUMMYFUNCTION("""COMPUTED_VALUE"""),0)</f>
        <v>0</v>
      </c>
      <c r="I63">
        <f ca="1">IFERROR(__xludf.DUMMYFUNCTION("""COMPUTED_VALUE"""),4714)</f>
        <v>4714</v>
      </c>
      <c r="J63" t="str">
        <f ca="1">IFERROR(__xludf.DUMMYFUNCTION("""COMPUTED_VALUE"""),"5555 (49000-776-00080) ЛИМАН -")</f>
        <v>5555 (49000-776-00080) ЛИМАН -</v>
      </c>
      <c r="K63">
        <f ca="1">IFERROR(__xludf.DUMMYFUNCTION("""COMPUTED_VALUE"""),49000)</f>
        <v>49000</v>
      </c>
      <c r="L63" t="str">
        <f ca="1">IFERROR(__xludf.DUMMYFUNCTION("""COMPUTED_VALUE"""),"ЛИМАН")</f>
        <v>ЛИМАН</v>
      </c>
      <c r="M63" t="str">
        <f ca="1">IFERROR(__xludf.DUMMYFUNCTION("""COMPUTED_VALUE"""),"12.08.21 05-13")</f>
        <v>12.08.21 05-13</v>
      </c>
      <c r="N63" t="str">
        <f ca="1">IFERROR(__xludf.DUMMYFUNCTION("""COMPUTED_VALUE"""),"04 РАСФ")</f>
        <v>04 РАСФ</v>
      </c>
      <c r="O63">
        <f ca="1">IFERROR(__xludf.DUMMYFUNCTION("""COMPUTED_VALUE"""),49480)</f>
        <v>49480</v>
      </c>
      <c r="P63" t="str">
        <f ca="1">IFERROR(__xludf.DUMMYFUNCTION("""COMPUTED_VALUE"""),"СОЛЬ")</f>
        <v>СОЛЬ</v>
      </c>
      <c r="Q63">
        <f ca="1">IFERROR(__xludf.DUMMYFUNCTION("""COMPUTED_VALUE"""),47600)</f>
        <v>47600</v>
      </c>
      <c r="R63" t="str">
        <f ca="1">IFERROR(__xludf.DUMMYFUNCTION("""COMPUTED_VALUE"""),"МЕЛИТОПОЛЬ")</f>
        <v>МЕЛИТОПОЛЬ</v>
      </c>
      <c r="S63" t="str">
        <f ca="1">IFERROR(__xludf.DUMMYFUNCTION("""COMPUTED_VALUE"""),"09.08.21 10-00")</f>
        <v>09.08.21 10-00</v>
      </c>
      <c r="T63">
        <f ca="1">IFERROR(__xludf.DUMMYFUNCTION("""COMPUTED_VALUE"""),4325)</f>
        <v>4325</v>
      </c>
      <c r="U63" t="str">
        <f ca="1">IFERROR(__xludf.DUMMYFUNCTION("""COMPUTED_VALUE"""),"01.03.2024 ТР-1")</f>
        <v>01.03.2024 ТР-1</v>
      </c>
      <c r="Z63" t="str">
        <f ca="1">IFERROR(__xludf.DUMMYFUNCTION("""COMPUTED_VALUE"""),"ООО «УКРТРАНСЛОДЖИСТИК»")</f>
        <v>ООО «УКРТРАНСЛОДЖИСТИК»</v>
      </c>
      <c r="AA63" t="str">
        <f ca="1">IFERROR(__xludf.DUMMYFUNCTION("""COMPUTED_VALUE"""),"11-066-05")</f>
        <v>11-066-05</v>
      </c>
      <c r="AB63" t="str">
        <f ca="1">IFERROR(__xludf.DUMMYFUNCTION("""COMPUTED_VALUE"""),"48 ДОН")</f>
        <v>48 ДОН</v>
      </c>
      <c r="AC63" t="str">
        <f ca="1">IFERROR(__xludf.DUMMYFUNCTION("""COMPUTED_VALUE"""),"49480 СОЛЬ")</f>
        <v>49480 СОЛЬ</v>
      </c>
      <c r="AD63" t="str">
        <f ca="1">IFERROR(__xludf.DUMMYFUNCTION("""COMPUTED_VALUE"""),"18.05.21 23-50")</f>
        <v>18.05.21 23-50</v>
      </c>
      <c r="AE63" t="str">
        <f ca="1">IFERROR(__xludf.DUMMYFUNCTION("""COMPUTED_VALUE"""),"537 НEИCПPAВНOCТЬ ЗAПOPA ДВEPИ")</f>
        <v>537 НEИCПPAВНOCТЬ ЗAПOPA ДВEPИ</v>
      </c>
      <c r="AF63" t="str">
        <f ca="1">IFERROR(__xludf.DUMMYFUNCTION("""COMPUTED_VALUE"""),"48 ДОН")</f>
        <v>48 ДОН</v>
      </c>
      <c r="AG63" t="str">
        <f ca="1">IFERROR(__xludf.DUMMYFUNCTION("""COMPUTED_VALUE"""),"49480 СОЛЬ")</f>
        <v>49480 СОЛЬ</v>
      </c>
      <c r="AH63" t="str">
        <f ca="1">IFERROR(__xludf.DUMMYFUNCTION("""COMPUTED_VALUE"""),"20.05.21 13-00")</f>
        <v>20.05.21 13-00</v>
      </c>
      <c r="AI63" s="21">
        <f ca="1">IFERROR(__xludf.DUMMYFUNCTION("""COMPUTED_VALUE"""),44420.3576504629)</f>
        <v>44420.357650462902</v>
      </c>
    </row>
    <row r="64" spans="1:35" ht="13" x14ac:dyDescent="0.15">
      <c r="A64">
        <f ca="1">IFERROR(__xludf.DUMMYFUNCTION("""COMPUTED_VALUE"""),143)</f>
        <v>143</v>
      </c>
      <c r="B64" t="str">
        <f ca="1">IFERROR(__xludf.DUMMYFUNCTION("""COMPUTED_VALUE"""),"Кнауф")</f>
        <v>Кнауф</v>
      </c>
      <c r="C64" t="str">
        <f ca="1">IFERROR(__xludf.DUMMYFUNCTION("""COMPUTED_VALUE"""),"Сидрейл")</f>
        <v>Сидрейл</v>
      </c>
      <c r="D64">
        <f ca="1">IFERROR(__xludf.DUMMYFUNCTION("""COMPUTED_VALUE"""),24460800)</f>
        <v>24460800</v>
      </c>
      <c r="E64" t="str">
        <f ca="1">IFERROR(__xludf.DUMMYFUNCTION("""COMPUTED_VALUE"""),"20 КРЫТЫЕ")</f>
        <v>20 КРЫТЫЕ</v>
      </c>
      <c r="F64">
        <f ca="1">IFERROR(__xludf.DUMMYFUNCTION("""COMPUTED_VALUE"""),42103)</f>
        <v>42103</v>
      </c>
      <c r="G64" t="str">
        <f ca="1">IFERROR(__xludf.DUMMYFUNCTION("""COMPUTED_VALUE"""),"ВАГОНЫ ЖД СВ")</f>
        <v>ВАГОНЫ ЖД СВ</v>
      </c>
      <c r="H64">
        <f ca="1">IFERROR(__xludf.DUMMYFUNCTION("""COMPUTED_VALUE"""),0)</f>
        <v>0</v>
      </c>
      <c r="I64">
        <f ca="1">IFERROR(__xludf.DUMMYFUNCTION("""COMPUTED_VALUE"""),4149)</f>
        <v>4149</v>
      </c>
      <c r="J64" t="str">
        <f ca="1">IFERROR(__xludf.DUMMYFUNCTION("""COMPUTED_VALUE"""),"3656 (32060-582-32000) ПОЧАЙНА - ДАРНИЦА")</f>
        <v>3656 (32060-582-32000) ПОЧАЙНА - ДАРНИЦА</v>
      </c>
      <c r="K64">
        <f ca="1">IFERROR(__xludf.DUMMYFUNCTION("""COMPUTED_VALUE"""),32000)</f>
        <v>32000</v>
      </c>
      <c r="L64" t="str">
        <f ca="1">IFERROR(__xludf.DUMMYFUNCTION("""COMPUTED_VALUE"""),"ДАРНИЦА")</f>
        <v>ДАРНИЦА</v>
      </c>
      <c r="M64" t="str">
        <f ca="1">IFERROR(__xludf.DUMMYFUNCTION("""COMPUTED_VALUE"""),"12.08.21 03-03")</f>
        <v>12.08.21 03-03</v>
      </c>
      <c r="N64" t="str">
        <f ca="1">IFERROR(__xludf.DUMMYFUNCTION("""COMPUTED_VALUE"""),"04 РАСФ")</f>
        <v>04 РАСФ</v>
      </c>
      <c r="O64">
        <f ca="1">IFERROR(__xludf.DUMMYFUNCTION("""COMPUTED_VALUE"""),49620)</f>
        <v>49620</v>
      </c>
      <c r="P64" t="str">
        <f ca="1">IFERROR(__xludf.DUMMYFUNCTION("""COMPUTED_VALUE"""),"ДЕКОНСКАЯ")</f>
        <v>ДЕКОНСКАЯ</v>
      </c>
      <c r="Q64">
        <f ca="1">IFERROR(__xludf.DUMMYFUNCTION("""COMPUTED_VALUE"""),32060)</f>
        <v>32060</v>
      </c>
      <c r="R64" t="str">
        <f ca="1">IFERROR(__xludf.DUMMYFUNCTION("""COMPUTED_VALUE"""),"ПОЧАЙНА")</f>
        <v>ПОЧАЙНА</v>
      </c>
      <c r="S64" t="str">
        <f ca="1">IFERROR(__xludf.DUMMYFUNCTION("""COMPUTED_VALUE"""),"10.08.21 10-40")</f>
        <v>10.08.21 10-40</v>
      </c>
      <c r="T64">
        <f ca="1">IFERROR(__xludf.DUMMYFUNCTION("""COMPUTED_VALUE"""),1658)</f>
        <v>1658</v>
      </c>
      <c r="U64" t="str">
        <f ca="1">IFERROR(__xludf.DUMMYFUNCTION("""COMPUTED_VALUE"""),"01.03.2024 ТР-1")</f>
        <v>01.03.2024 ТР-1</v>
      </c>
      <c r="Z64" t="str">
        <f ca="1">IFERROR(__xludf.DUMMYFUNCTION("""COMPUTED_VALUE"""),"ООО «УКРТРАНСЛОДЖИСТИК»")</f>
        <v>ООО «УКРТРАНСЛОДЖИСТИК»</v>
      </c>
      <c r="AA64" t="str">
        <f ca="1">IFERROR(__xludf.DUMMYFUNCTION("""COMPUTED_VALUE"""),"11-217")</f>
        <v>11-217</v>
      </c>
      <c r="AB64" t="str">
        <f ca="1">IFERROR(__xludf.DUMMYFUNCTION("""COMPUTED_VALUE"""),"32 Ю-ЗАП")</f>
        <v>32 Ю-ЗАП</v>
      </c>
      <c r="AC64" t="str">
        <f ca="1">IFERROR(__xludf.DUMMYFUNCTION("""COMPUTED_VALUE"""),"33000 ЖМЕРИНКА")</f>
        <v>33000 ЖМЕРИНКА</v>
      </c>
      <c r="AD64" t="str">
        <f ca="1">IFERROR(__xludf.DUMMYFUNCTION("""COMPUTED_VALUE"""),"29.03.21 13-25")</f>
        <v>29.03.21 13-25</v>
      </c>
      <c r="AE64" t="str">
        <f ca="1">IFERROR(__xludf.DUMMYFUNCTION("""COMPUTED_VALUE"""),"570 ИCТEК КAЛЕНДАРНЫЙ CPOК ДEПOВCКОГО PEМOНТA")</f>
        <v>570 ИCТEК КAЛЕНДАРНЫЙ CPOК ДEПOВCКОГО PEМOНТA</v>
      </c>
      <c r="AF64" t="str">
        <f ca="1">IFERROR(__xludf.DUMMYFUNCTION("""COMPUTED_VALUE"""),"32 Ю-ЗАП")</f>
        <v>32 Ю-ЗАП</v>
      </c>
      <c r="AG64" t="str">
        <f ca="1">IFERROR(__xludf.DUMMYFUNCTION("""COMPUTED_VALUE"""),"33000 ЖМЕРИНКА")</f>
        <v>33000 ЖМЕРИНКА</v>
      </c>
      <c r="AH64" t="str">
        <f ca="1">IFERROR(__xludf.DUMMYFUNCTION("""COMPUTED_VALUE"""),"24.04.21 14-33")</f>
        <v>24.04.21 14-33</v>
      </c>
      <c r="AI64" s="21">
        <f ca="1">IFERROR(__xludf.DUMMYFUNCTION("""COMPUTED_VALUE"""),44420.3576504629)</f>
        <v>44420.357650462902</v>
      </c>
    </row>
    <row r="65" spans="1:35" ht="13" x14ac:dyDescent="0.15">
      <c r="A65">
        <f ca="1">IFERROR(__xludf.DUMMYFUNCTION("""COMPUTED_VALUE"""),144)</f>
        <v>144</v>
      </c>
      <c r="B65" t="str">
        <f ca="1">IFERROR(__xludf.DUMMYFUNCTION("""COMPUTED_VALUE"""),"Альта Виста")</f>
        <v>Альта Виста</v>
      </c>
      <c r="C65" t="str">
        <f ca="1">IFERROR(__xludf.DUMMYFUNCTION("""COMPUTED_VALUE"""),"Сидрейл")</f>
        <v>Сидрейл</v>
      </c>
      <c r="D65">
        <f ca="1">IFERROR(__xludf.DUMMYFUNCTION("""COMPUTED_VALUE"""),24462830)</f>
        <v>24462830</v>
      </c>
      <c r="E65" t="str">
        <f ca="1">IFERROR(__xludf.DUMMYFUNCTION("""COMPUTED_VALUE"""),"20 КРЫТЫЕ")</f>
        <v>20 КРЫТЫЕ</v>
      </c>
      <c r="F65">
        <f ca="1">IFERROR(__xludf.DUMMYFUNCTION("""COMPUTED_VALUE"""),23304)</f>
        <v>23304</v>
      </c>
      <c r="G65" t="str">
        <f ca="1">IFERROR(__xludf.DUMMYFUNCTION("""COMPUTED_VALUE"""),"ГИПС ПР")</f>
        <v>ГИПС ПР</v>
      </c>
      <c r="H65">
        <f ca="1">IFERROR(__xludf.DUMMYFUNCTION("""COMPUTED_VALUE"""),66)</f>
        <v>66</v>
      </c>
      <c r="I65">
        <f ca="1">IFERROR(__xludf.DUMMYFUNCTION("""COMPUTED_VALUE"""),3314)</f>
        <v>3314</v>
      </c>
      <c r="J65" t="str">
        <f ca="1">IFERROR(__xludf.DUMMYFUNCTION("""COMPUTED_VALUE"""),"5555 (32000-611-00010) ДАРНИЦА -")</f>
        <v>5555 (32000-611-00010) ДАРНИЦА -</v>
      </c>
      <c r="K65">
        <f ca="1">IFERROR(__xludf.DUMMYFUNCTION("""COMPUTED_VALUE"""),32000)</f>
        <v>32000</v>
      </c>
      <c r="L65" t="str">
        <f ca="1">IFERROR(__xludf.DUMMYFUNCTION("""COMPUTED_VALUE"""),"ДАРНИЦА")</f>
        <v>ДАРНИЦА</v>
      </c>
      <c r="M65" t="str">
        <f ca="1">IFERROR(__xludf.DUMMYFUNCTION("""COMPUTED_VALUE"""),"12.08.21 06-06")</f>
        <v>12.08.21 06-06</v>
      </c>
      <c r="N65" t="str">
        <f ca="1">IFERROR(__xludf.DUMMYFUNCTION("""COMPUTED_VALUE"""),"04 РАСФ")</f>
        <v>04 РАСФ</v>
      </c>
      <c r="O65">
        <f ca="1">IFERROR(__xludf.DUMMYFUNCTION("""COMPUTED_VALUE"""),32040)</f>
        <v>32040</v>
      </c>
      <c r="P65" t="str">
        <f ca="1">IFERROR(__xludf.DUMMYFUNCTION("""COMPUTED_VALUE"""),"ГРУШКИ")</f>
        <v>ГРУШКИ</v>
      </c>
      <c r="Q65">
        <f ca="1">IFERROR(__xludf.DUMMYFUNCTION("""COMPUTED_VALUE"""),49620)</f>
        <v>49620</v>
      </c>
      <c r="R65" t="str">
        <f ca="1">IFERROR(__xludf.DUMMYFUNCTION("""COMPUTED_VALUE"""),"ДЕКОНСКАЯ")</f>
        <v>ДЕКОНСКАЯ</v>
      </c>
      <c r="S65" t="str">
        <f ca="1">IFERROR(__xludf.DUMMYFUNCTION("""COMPUTED_VALUE"""),"07.08.21 09-00")</f>
        <v>07.08.21 09-00</v>
      </c>
      <c r="T65">
        <f ca="1">IFERROR(__xludf.DUMMYFUNCTION("""COMPUTED_VALUE"""),4149)</f>
        <v>4149</v>
      </c>
      <c r="U65" t="str">
        <f ca="1">IFERROR(__xludf.DUMMYFUNCTION("""COMPUTED_VALUE"""),"01.03.2024 ТР-1")</f>
        <v>01.03.2024 ТР-1</v>
      </c>
      <c r="Z65" t="str">
        <f ca="1">IFERROR(__xludf.DUMMYFUNCTION("""COMPUTED_VALUE"""),"ООО «УКРТРАНСЛОДЖИСТИК»")</f>
        <v>ООО «УКРТРАНСЛОДЖИСТИК»</v>
      </c>
      <c r="AA65" t="str">
        <f ca="1">IFERROR(__xludf.DUMMYFUNCTION("""COMPUTED_VALUE"""),"11-217")</f>
        <v>11-217</v>
      </c>
      <c r="AB65" t="str">
        <f ca="1">IFERROR(__xludf.DUMMYFUNCTION("""COMPUTED_VALUE"""),"32 Ю-ЗАП")</f>
        <v>32 Ю-ЗАП</v>
      </c>
      <c r="AC65" t="str">
        <f ca="1">IFERROR(__xludf.DUMMYFUNCTION("""COMPUTED_VALUE"""),"33000 ЖМЕРИНКА")</f>
        <v>33000 ЖМЕРИНКА</v>
      </c>
      <c r="AD65" t="str">
        <f ca="1">IFERROR(__xludf.DUMMYFUNCTION("""COMPUTED_VALUE"""),"23.03.21 15-39")</f>
        <v>23.03.21 15-39</v>
      </c>
      <c r="AE65" t="str">
        <f ca="1">IFERROR(__xludf.DUMMYFUNCTION("""COMPUTED_VALUE"""),"570 ИCТEК КAЛЕНДАРНЫЙ CPOК ДEПOВCКОГО PEМOНТA")</f>
        <v>570 ИCТEК КAЛЕНДАРНЫЙ CPOК ДEПOВCКОГО PEМOНТA</v>
      </c>
      <c r="AF65" t="str">
        <f ca="1">IFERROR(__xludf.DUMMYFUNCTION("""COMPUTED_VALUE"""),"32 Ю-ЗАП")</f>
        <v>32 Ю-ЗАП</v>
      </c>
      <c r="AG65" t="str">
        <f ca="1">IFERROR(__xludf.DUMMYFUNCTION("""COMPUTED_VALUE"""),"33000 ЖМЕРИНКА")</f>
        <v>33000 ЖМЕРИНКА</v>
      </c>
      <c r="AH65" t="str">
        <f ca="1">IFERROR(__xludf.DUMMYFUNCTION("""COMPUTED_VALUE"""),"28.04.21 13-25")</f>
        <v>28.04.21 13-25</v>
      </c>
      <c r="AI65" s="21">
        <f ca="1">IFERROR(__xludf.DUMMYFUNCTION("""COMPUTED_VALUE"""),44420.3576504629)</f>
        <v>44420.357650462902</v>
      </c>
    </row>
    <row r="66" spans="1:35" ht="13" x14ac:dyDescent="0.15">
      <c r="A66">
        <f ca="1">IFERROR(__xludf.DUMMYFUNCTION("""COMPUTED_VALUE"""),145)</f>
        <v>145</v>
      </c>
      <c r="B66" t="str">
        <f ca="1">IFERROR(__xludf.DUMMYFUNCTION("""COMPUTED_VALUE"""),"Кнауф")</f>
        <v>Кнауф</v>
      </c>
      <c r="C66" t="str">
        <f ca="1">IFERROR(__xludf.DUMMYFUNCTION("""COMPUTED_VALUE"""),"Сидрейл")</f>
        <v>Сидрейл</v>
      </c>
      <c r="D66">
        <f ca="1">IFERROR(__xludf.DUMMYFUNCTION("""COMPUTED_VALUE"""),24373540)</f>
        <v>24373540</v>
      </c>
      <c r="E66" t="str">
        <f ca="1">IFERROR(__xludf.DUMMYFUNCTION("""COMPUTED_VALUE"""),"20 КРЫТЫЕ")</f>
        <v>20 КРЫТЫЕ</v>
      </c>
      <c r="F66">
        <f ca="1">IFERROR(__xludf.DUMMYFUNCTION("""COMPUTED_VALUE"""),28114)</f>
        <v>28114</v>
      </c>
      <c r="G66" t="str">
        <f ca="1">IFERROR(__xludf.DUMMYFUNCTION("""COMPUTED_VALUE"""),"ЦЕМЕНТ ПР")</f>
        <v>ЦЕМЕНТ ПР</v>
      </c>
      <c r="H66">
        <f ca="1">IFERROR(__xludf.DUMMYFUNCTION("""COMPUTED_VALUE"""),68)</f>
        <v>68</v>
      </c>
      <c r="I66">
        <f ca="1">IFERROR(__xludf.DUMMYFUNCTION("""COMPUTED_VALUE"""),1494)</f>
        <v>1494</v>
      </c>
      <c r="J66" t="str">
        <f ca="1">IFERROR(__xludf.DUMMYFUNCTION("""COMPUTED_VALUE"""),"2346 (38830-080-37000) ЯМНИЦА - ЛЬВОВ")</f>
        <v>2346 (38830-080-37000) ЯМНИЦА - ЛЬВОВ</v>
      </c>
      <c r="K66">
        <f ca="1">IFERROR(__xludf.DUMMYFUNCTION("""COMPUTED_VALUE"""),37000)</f>
        <v>37000</v>
      </c>
      <c r="L66" t="str">
        <f ca="1">IFERROR(__xludf.DUMMYFUNCTION("""COMPUTED_VALUE"""),"ЛЬВОВ")</f>
        <v>ЛЬВОВ</v>
      </c>
      <c r="M66" t="str">
        <f ca="1">IFERROR(__xludf.DUMMYFUNCTION("""COMPUTED_VALUE"""),"12.08.21 00-54")</f>
        <v>12.08.21 00-54</v>
      </c>
      <c r="N66" t="str">
        <f ca="1">IFERROR(__xludf.DUMMYFUNCTION("""COMPUTED_VALUE"""),"01 ПРИБ")</f>
        <v>01 ПРИБ</v>
      </c>
      <c r="O66">
        <f ca="1">IFERROR(__xludf.DUMMYFUNCTION("""COMPUTED_VALUE"""),44050)</f>
        <v>44050</v>
      </c>
      <c r="P66" t="str">
        <f ca="1">IFERROR(__xludf.DUMMYFUNCTION("""COMPUTED_VALUE"""),"ХАРЬКОВ-БАЛ")</f>
        <v>ХАРЬКОВ-БАЛ</v>
      </c>
      <c r="Q66">
        <f ca="1">IFERROR(__xludf.DUMMYFUNCTION("""COMPUTED_VALUE"""),38830)</f>
        <v>38830</v>
      </c>
      <c r="R66" t="str">
        <f ca="1">IFERROR(__xludf.DUMMYFUNCTION("""COMPUTED_VALUE"""),"ЯМНИЦА")</f>
        <v>ЯМНИЦА</v>
      </c>
      <c r="S66" t="str">
        <f ca="1">IFERROR(__xludf.DUMMYFUNCTION("""COMPUTED_VALUE"""),"09.08.21 18-20")</f>
        <v>09.08.21 18-20</v>
      </c>
      <c r="T66">
        <f ca="1">IFERROR(__xludf.DUMMYFUNCTION("""COMPUTED_VALUE"""),8199)</f>
        <v>8199</v>
      </c>
      <c r="U66" t="str">
        <f ca="1">IFERROR(__xludf.DUMMYFUNCTION("""COMPUTED_VALUE"""),"01.03.2024 ТР-1")</f>
        <v>01.03.2024 ТР-1</v>
      </c>
      <c r="Z66" t="str">
        <f ca="1">IFERROR(__xludf.DUMMYFUNCTION("""COMPUTED_VALUE"""),"ООО «УКРТРАНСЛОДЖИСТИК»")</f>
        <v>ООО «УКРТРАНСЛОДЖИСТИК»</v>
      </c>
      <c r="AA66" t="str">
        <f ca="1">IFERROR(__xludf.DUMMYFUNCTION("""COMPUTED_VALUE"""),"11-270")</f>
        <v>11-270</v>
      </c>
      <c r="AB66" t="str">
        <f ca="1">IFERROR(__xludf.DUMMYFUNCTION("""COMPUTED_VALUE"""),"32 Ю-ЗАП")</f>
        <v>32 Ю-ЗАП</v>
      </c>
      <c r="AC66" t="str">
        <f ca="1">IFERROR(__xludf.DUMMYFUNCTION("""COMPUTED_VALUE"""),"33000 ЖМЕРИНКА")</f>
        <v>33000 ЖМЕРИНКА</v>
      </c>
      <c r="AD66" t="str">
        <f ca="1">IFERROR(__xludf.DUMMYFUNCTION("""COMPUTED_VALUE"""),"20.03.21 13-55")</f>
        <v>20.03.21 13-55</v>
      </c>
      <c r="AE66" t="str">
        <f ca="1">IFERROR(__xludf.DUMMYFUNCTION("""COMPUTED_VALUE"""),"570 ИCТEК КAЛЕНДАРНЫЙ CPOК ДEПOВCКОГО PEМOНТA")</f>
        <v>570 ИCТEК КAЛЕНДАРНЫЙ CPOК ДEПOВCКОГО PEМOНТA</v>
      </c>
      <c r="AF66" t="str">
        <f ca="1">IFERROR(__xludf.DUMMYFUNCTION("""COMPUTED_VALUE"""),"32 Ю-ЗАП")</f>
        <v>32 Ю-ЗАП</v>
      </c>
      <c r="AG66" t="str">
        <f ca="1">IFERROR(__xludf.DUMMYFUNCTION("""COMPUTED_VALUE"""),"33000 ЖМЕРИНКА")</f>
        <v>33000 ЖМЕРИНКА</v>
      </c>
      <c r="AH66" t="str">
        <f ca="1">IFERROR(__xludf.DUMMYFUNCTION("""COMPUTED_VALUE"""),"27.03.21 17-31")</f>
        <v>27.03.21 17-31</v>
      </c>
      <c r="AI66" s="21">
        <f ca="1">IFERROR(__xludf.DUMMYFUNCTION("""COMPUTED_VALUE"""),44420.3576504629)</f>
        <v>44420.357650462902</v>
      </c>
    </row>
    <row r="67" spans="1:35" ht="13" x14ac:dyDescent="0.15">
      <c r="A67">
        <f ca="1">IFERROR(__xludf.DUMMYFUNCTION("""COMPUTED_VALUE"""),146)</f>
        <v>146</v>
      </c>
      <c r="B67" t="str">
        <f ca="1">IFERROR(__xludf.DUMMYFUNCTION("""COMPUTED_VALUE"""),"Кнауф")</f>
        <v>Кнауф</v>
      </c>
      <c r="C67" t="str">
        <f ca="1">IFERROR(__xludf.DUMMYFUNCTION("""COMPUTED_VALUE"""),"Сидрейл")</f>
        <v>Сидрейл</v>
      </c>
      <c r="D67">
        <f ca="1">IFERROR(__xludf.DUMMYFUNCTION("""COMPUTED_VALUE"""),24373565)</f>
        <v>24373565</v>
      </c>
      <c r="E67" t="str">
        <f ca="1">IFERROR(__xludf.DUMMYFUNCTION("""COMPUTED_VALUE"""),"20 КРЫТЫЕ")</f>
        <v>20 КРЫТЫЕ</v>
      </c>
      <c r="F67">
        <f ca="1">IFERROR(__xludf.DUMMYFUNCTION("""COMPUTED_VALUE"""),42103)</f>
        <v>42103</v>
      </c>
      <c r="G67" t="str">
        <f ca="1">IFERROR(__xludf.DUMMYFUNCTION("""COMPUTED_VALUE"""),"ВАГОНЫ ЖД СВ")</f>
        <v>ВАГОНЫ ЖД СВ</v>
      </c>
      <c r="H67">
        <f ca="1">IFERROR(__xludf.DUMMYFUNCTION("""COMPUTED_VALUE"""),0)</f>
        <v>0</v>
      </c>
      <c r="I67">
        <f ca="1">IFERROR(__xludf.DUMMYFUNCTION("""COMPUTED_VALUE"""),4149)</f>
        <v>4149</v>
      </c>
      <c r="J67" t="str">
        <f ca="1">IFERROR(__xludf.DUMMYFUNCTION("""COMPUTED_VALUE"""),"3802 (49640-066-49620)  - ДЕКОНСКАЯ")</f>
        <v>3802 (49640-066-49620)  - ДЕКОНСКАЯ</v>
      </c>
      <c r="K67">
        <f ca="1">IFERROR(__xludf.DUMMYFUNCTION("""COMPUTED_VALUE"""),49620)</f>
        <v>49620</v>
      </c>
      <c r="L67" t="str">
        <f ca="1">IFERROR(__xludf.DUMMYFUNCTION("""COMPUTED_VALUE"""),"ДЕКОНСКАЯ")</f>
        <v>ДЕКОНСКАЯ</v>
      </c>
      <c r="M67" t="str">
        <f ca="1">IFERROR(__xludf.DUMMYFUNCTION("""COMPUTED_VALUE"""),"09.08.21 12-10")</f>
        <v>09.08.21 12-10</v>
      </c>
      <c r="N67" t="str">
        <f ca="1">IFERROR(__xludf.DUMMYFUNCTION("""COMPUTED_VALUE"""),"98 ОТОТ")</f>
        <v>98 ОТОТ</v>
      </c>
      <c r="O67">
        <f ca="1">IFERROR(__xludf.DUMMYFUNCTION("""COMPUTED_VALUE"""),49620)</f>
        <v>49620</v>
      </c>
      <c r="P67" t="str">
        <f ca="1">IFERROR(__xludf.DUMMYFUNCTION("""COMPUTED_VALUE"""),"ДЕКОНСКАЯ")</f>
        <v>ДЕКОНСКАЯ</v>
      </c>
      <c r="Q67">
        <f ca="1">IFERROR(__xludf.DUMMYFUNCTION("""COMPUTED_VALUE"""),32040)</f>
        <v>32040</v>
      </c>
      <c r="R67" t="str">
        <f ca="1">IFERROR(__xludf.DUMMYFUNCTION("""COMPUTED_VALUE"""),"ГРУШКИ")</f>
        <v>ГРУШКИ</v>
      </c>
      <c r="S67" t="str">
        <f ca="1">IFERROR(__xludf.DUMMYFUNCTION("""COMPUTED_VALUE"""),"03.08.21 08-00")</f>
        <v>03.08.21 08-00</v>
      </c>
      <c r="T67">
        <f ca="1">IFERROR(__xludf.DUMMYFUNCTION("""COMPUTED_VALUE"""),3314)</f>
        <v>3314</v>
      </c>
      <c r="U67" t="str">
        <f ca="1">IFERROR(__xludf.DUMMYFUNCTION("""COMPUTED_VALUE"""),"01.03.2024 ТР-1")</f>
        <v>01.03.2024 ТР-1</v>
      </c>
      <c r="Z67" t="str">
        <f ca="1">IFERROR(__xludf.DUMMYFUNCTION("""COMPUTED_VALUE"""),"ООО «УКРТРАНСЛОДЖИСТИК»")</f>
        <v>ООО «УКРТРАНСЛОДЖИСТИК»</v>
      </c>
      <c r="AA67" t="str">
        <f ca="1">IFERROR(__xludf.DUMMYFUNCTION("""COMPUTED_VALUE"""),"11-217")</f>
        <v>11-217</v>
      </c>
      <c r="AB67" t="str">
        <f ca="1">IFERROR(__xludf.DUMMYFUNCTION("""COMPUTED_VALUE"""),"43 ЮЖН")</f>
        <v>43 ЮЖН</v>
      </c>
      <c r="AC67" t="str">
        <f ca="1">IFERROR(__xludf.DUMMYFUNCTION("""COMPUTED_VALUE"""),"44020 ОСНОВА")</f>
        <v>44020 ОСНОВА</v>
      </c>
      <c r="AD67" t="str">
        <f ca="1">IFERROR(__xludf.DUMMYFUNCTION("""COMPUTED_VALUE"""),"08.06.21 04-45")</f>
        <v>08.06.21 04-45</v>
      </c>
      <c r="AE67" t="str">
        <f ca="1">IFERROR(__xludf.DUMMYFUNCTION("""COMPUTED_VALUE"""),"537 НEИCПPAВНOCТЬ ЗAПOPA ДВEPИ")</f>
        <v>537 НEИCПPAВНOCТЬ ЗAПOPA ДВEPИ</v>
      </c>
      <c r="AF67" t="str">
        <f ca="1">IFERROR(__xludf.DUMMYFUNCTION("""COMPUTED_VALUE"""),"43 ЮЖН")</f>
        <v>43 ЮЖН</v>
      </c>
      <c r="AG67" t="str">
        <f ca="1">IFERROR(__xludf.DUMMYFUNCTION("""COMPUTED_VALUE"""),"44020 ОСНОВА")</f>
        <v>44020 ОСНОВА</v>
      </c>
      <c r="AH67" t="str">
        <f ca="1">IFERROR(__xludf.DUMMYFUNCTION("""COMPUTED_VALUE"""),"09.06.21 17-20")</f>
        <v>09.06.21 17-20</v>
      </c>
      <c r="AI67" s="21">
        <f ca="1">IFERROR(__xludf.DUMMYFUNCTION("""COMPUTED_VALUE"""),44420.3576504629)</f>
        <v>44420.357650462902</v>
      </c>
    </row>
    <row r="68" spans="1:35" ht="13" x14ac:dyDescent="0.15">
      <c r="A68">
        <f ca="1">IFERROR(__xludf.DUMMYFUNCTION("""COMPUTED_VALUE"""),147)</f>
        <v>147</v>
      </c>
      <c r="B68" t="str">
        <f ca="1">IFERROR(__xludf.DUMMYFUNCTION("""COMPUTED_VALUE"""),"Кнауф")</f>
        <v>Кнауф</v>
      </c>
      <c r="C68" t="str">
        <f ca="1">IFERROR(__xludf.DUMMYFUNCTION("""COMPUTED_VALUE"""),"Сидрейл")</f>
        <v>Сидрейл</v>
      </c>
      <c r="D68">
        <f ca="1">IFERROR(__xludf.DUMMYFUNCTION("""COMPUTED_VALUE"""),24466344)</f>
        <v>24466344</v>
      </c>
      <c r="E68" t="str">
        <f ca="1">IFERROR(__xludf.DUMMYFUNCTION("""COMPUTED_VALUE"""),"20 КРЫТЫЕ")</f>
        <v>20 КРЫТЫЕ</v>
      </c>
      <c r="F68">
        <f ca="1">IFERROR(__xludf.DUMMYFUNCTION("""COMPUTED_VALUE"""),23304)</f>
        <v>23304</v>
      </c>
      <c r="G68" t="str">
        <f ca="1">IFERROR(__xludf.DUMMYFUNCTION("""COMPUTED_VALUE"""),"ГИПС ПР")</f>
        <v>ГИПС ПР</v>
      </c>
      <c r="H68">
        <f ca="1">IFERROR(__xludf.DUMMYFUNCTION("""COMPUTED_VALUE"""),65)</f>
        <v>65</v>
      </c>
      <c r="I68">
        <f ca="1">IFERROR(__xludf.DUMMYFUNCTION("""COMPUTED_VALUE"""),4014)</f>
        <v>4014</v>
      </c>
      <c r="J68" t="str">
        <f ca="1">IFERROR(__xludf.DUMMYFUNCTION("""COMPUTED_VALUE"""),"2209 (32000-526-37040) ДАРНИЦА - КЛЕПАРОВ")</f>
        <v>2209 (32000-526-37040) ДАРНИЦА - КЛЕПАРОВ</v>
      </c>
      <c r="K68">
        <f ca="1">IFERROR(__xludf.DUMMYFUNCTION("""COMPUTED_VALUE"""),37040)</f>
        <v>37040</v>
      </c>
      <c r="L68" t="str">
        <f ca="1">IFERROR(__xludf.DUMMYFUNCTION("""COMPUTED_VALUE"""),"КЛЕПАРОВ")</f>
        <v>КЛЕПАРОВ</v>
      </c>
      <c r="M68" t="str">
        <f ca="1">IFERROR(__xludf.DUMMYFUNCTION("""COMPUTED_VALUE"""),"12.08.21 06-30")</f>
        <v>12.08.21 06-30</v>
      </c>
      <c r="N68" t="str">
        <f ca="1">IFERROR(__xludf.DUMMYFUNCTION("""COMPUTED_VALUE"""),"01 ПРИБ")</f>
        <v>01 ПРИБ</v>
      </c>
      <c r="O68">
        <f ca="1">IFERROR(__xludf.DUMMYFUNCTION("""COMPUTED_VALUE"""),38000)</f>
        <v>38000</v>
      </c>
      <c r="P68" t="str">
        <f ca="1">IFERROR(__xludf.DUMMYFUNCTION("""COMPUTED_VALUE"""),"МУКАЧЕВО")</f>
        <v>МУКАЧЕВО</v>
      </c>
      <c r="Q68">
        <f ca="1">IFERROR(__xludf.DUMMYFUNCTION("""COMPUTED_VALUE"""),49620)</f>
        <v>49620</v>
      </c>
      <c r="R68" t="str">
        <f ca="1">IFERROR(__xludf.DUMMYFUNCTION("""COMPUTED_VALUE"""),"ДЕКОНСКАЯ")</f>
        <v>ДЕКОНСКАЯ</v>
      </c>
      <c r="S68" t="str">
        <f ca="1">IFERROR(__xludf.DUMMYFUNCTION("""COMPUTED_VALUE"""),"04.08.21 15-20")</f>
        <v>04.08.21 15-20</v>
      </c>
      <c r="T68">
        <f ca="1">IFERROR(__xludf.DUMMYFUNCTION("""COMPUTED_VALUE"""),4149)</f>
        <v>4149</v>
      </c>
      <c r="U68" t="str">
        <f ca="1">IFERROR(__xludf.DUMMYFUNCTION("""COMPUTED_VALUE"""),"01.03.2024 ТР-1")</f>
        <v>01.03.2024 ТР-1</v>
      </c>
      <c r="Z68" t="str">
        <f ca="1">IFERROR(__xludf.DUMMYFUNCTION("""COMPUTED_VALUE"""),"ООО «УКРТРАНСЛОДЖИСТИК»")</f>
        <v>ООО «УКРТРАНСЛОДЖИСТИК»</v>
      </c>
      <c r="AA68" t="str">
        <f ca="1">IFERROR(__xludf.DUMMYFUNCTION("""COMPUTED_VALUE"""),"11-217")</f>
        <v>11-217</v>
      </c>
      <c r="AB68" t="str">
        <f ca="1">IFERROR(__xludf.DUMMYFUNCTION("""COMPUTED_VALUE"""),"32 Ю-ЗАП")</f>
        <v>32 Ю-ЗАП</v>
      </c>
      <c r="AC68" t="str">
        <f ca="1">IFERROR(__xludf.DUMMYFUNCTION("""COMPUTED_VALUE"""),"33000 ЖМЕРИНКА")</f>
        <v>33000 ЖМЕРИНКА</v>
      </c>
      <c r="AD68" t="str">
        <f ca="1">IFERROR(__xludf.DUMMYFUNCTION("""COMPUTED_VALUE"""),"20.03.21 13-56")</f>
        <v>20.03.21 13-56</v>
      </c>
      <c r="AE68" t="str">
        <f ca="1">IFERROR(__xludf.DUMMYFUNCTION("""COMPUTED_VALUE"""),"570 ИCТEК КAЛЕНДАРНЫЙ CPOК ДEПOВCКОГО PEМOНТA")</f>
        <v>570 ИCТEК КAЛЕНДАРНЫЙ CPOК ДEПOВCКОГО PEМOНТA</v>
      </c>
      <c r="AF68" t="str">
        <f ca="1">IFERROR(__xludf.DUMMYFUNCTION("""COMPUTED_VALUE"""),"32 Ю-ЗАП")</f>
        <v>32 Ю-ЗАП</v>
      </c>
      <c r="AG68" t="str">
        <f ca="1">IFERROR(__xludf.DUMMYFUNCTION("""COMPUTED_VALUE"""),"33000 ЖМЕРИНКА")</f>
        <v>33000 ЖМЕРИНКА</v>
      </c>
      <c r="AH68" t="str">
        <f ca="1">IFERROR(__xludf.DUMMYFUNCTION("""COMPUTED_VALUE"""),"29.03.21 15-54")</f>
        <v>29.03.21 15-54</v>
      </c>
      <c r="AI68" s="21">
        <f ca="1">IFERROR(__xludf.DUMMYFUNCTION("""COMPUTED_VALUE"""),44420.3576504629)</f>
        <v>44420.357650462902</v>
      </c>
    </row>
    <row r="69" spans="1:35" ht="13" x14ac:dyDescent="0.15">
      <c r="A69">
        <f ca="1">IFERROR(__xludf.DUMMYFUNCTION("""COMPUTED_VALUE"""),148)</f>
        <v>148</v>
      </c>
      <c r="B69" t="str">
        <f ca="1">IFERROR(__xludf.DUMMYFUNCTION("""COMPUTED_VALUE"""),"Руссоль")</f>
        <v>Руссоль</v>
      </c>
      <c r="C69" t="str">
        <f ca="1">IFERROR(__xludf.DUMMYFUNCTION("""COMPUTED_VALUE"""),"Сидрейл")</f>
        <v>Сидрейл</v>
      </c>
      <c r="D69">
        <f ca="1">IFERROR(__xludf.DUMMYFUNCTION("""COMPUTED_VALUE"""),24466385)</f>
        <v>24466385</v>
      </c>
      <c r="E69" t="str">
        <f ca="1">IFERROR(__xludf.DUMMYFUNCTION("""COMPUTED_VALUE"""),"20 КРЫТЫЕ")</f>
        <v>20 КРЫТЫЕ</v>
      </c>
      <c r="F69">
        <f ca="1">IFERROR(__xludf.DUMMYFUNCTION("""COMPUTED_VALUE"""),42103)</f>
        <v>42103</v>
      </c>
      <c r="G69" t="str">
        <f ca="1">IFERROR(__xludf.DUMMYFUNCTION("""COMPUTED_VALUE"""),"ВАГОНЫ ЖД СВ")</f>
        <v>ВАГОНЫ ЖД СВ</v>
      </c>
      <c r="H69">
        <f ca="1">IFERROR(__xludf.DUMMYFUNCTION("""COMPUTED_VALUE"""),0)</f>
        <v>0</v>
      </c>
      <c r="I69">
        <f ca="1">IFERROR(__xludf.DUMMYFUNCTION("""COMPUTED_VALUE"""),8199)</f>
        <v>8199</v>
      </c>
      <c r="J69" t="str">
        <f ca="1">IFERROR(__xludf.DUMMYFUNCTION("""COMPUTED_VALUE"""),"2001 (37040-305-38830) КЛЕПАРОВ - ЯМНИЦА")</f>
        <v>2001 (37040-305-38830) КЛЕПАРОВ - ЯМНИЦА</v>
      </c>
      <c r="K69">
        <f ca="1">IFERROR(__xludf.DUMMYFUNCTION("""COMPUTED_VALUE"""),38830)</f>
        <v>38830</v>
      </c>
      <c r="L69" t="str">
        <f ca="1">IFERROR(__xludf.DUMMYFUNCTION("""COMPUTED_VALUE"""),"ЯМНИЦА")</f>
        <v>ЯМНИЦА</v>
      </c>
      <c r="M69" t="str">
        <f ca="1">IFERROR(__xludf.DUMMYFUNCTION("""COMPUTED_VALUE"""),"12.08.21 00-40")</f>
        <v>12.08.21 00-40</v>
      </c>
      <c r="N69" t="str">
        <f ca="1">IFERROR(__xludf.DUMMYFUNCTION("""COMPUTED_VALUE"""),"98 ОТОТ")</f>
        <v>98 ОТОТ</v>
      </c>
      <c r="O69">
        <f ca="1">IFERROR(__xludf.DUMMYFUNCTION("""COMPUTED_VALUE"""),38830)</f>
        <v>38830</v>
      </c>
      <c r="P69" t="str">
        <f ca="1">IFERROR(__xludf.DUMMYFUNCTION("""COMPUTED_VALUE"""),"ЯМНИЦА")</f>
        <v>ЯМНИЦА</v>
      </c>
      <c r="Q69">
        <f ca="1">IFERROR(__xludf.DUMMYFUNCTION("""COMPUTED_VALUE"""),36000)</f>
        <v>36000</v>
      </c>
      <c r="R69" t="str">
        <f ca="1">IFERROR(__xludf.DUMMYFUNCTION("""COMPUTED_VALUE"""),"ТЕРНОПОЛЬ")</f>
        <v>ТЕРНОПОЛЬ</v>
      </c>
      <c r="S69" t="str">
        <f ca="1">IFERROR(__xludf.DUMMYFUNCTION("""COMPUTED_VALUE"""),"02.08.21 22-00")</f>
        <v>02.08.21 22-00</v>
      </c>
      <c r="T69">
        <f ca="1">IFERROR(__xludf.DUMMYFUNCTION("""COMPUTED_VALUE"""),8200)</f>
        <v>8200</v>
      </c>
      <c r="U69" t="str">
        <f ca="1">IFERROR(__xludf.DUMMYFUNCTION("""COMPUTED_VALUE"""),"01.03.2024 ТР-1")</f>
        <v>01.03.2024 ТР-1</v>
      </c>
      <c r="Z69" t="str">
        <f ca="1">IFERROR(__xludf.DUMMYFUNCTION("""COMPUTED_VALUE"""),"ООО «УКРТРАНСЛОДЖИСТИК»")</f>
        <v>ООО «УКРТРАНСЛОДЖИСТИК»</v>
      </c>
      <c r="AA69" t="str">
        <f ca="1">IFERROR(__xludf.DUMMYFUNCTION("""COMPUTED_VALUE"""),"11-217")</f>
        <v>11-217</v>
      </c>
      <c r="AB69" t="str">
        <f ca="1">IFERROR(__xludf.DUMMYFUNCTION("""COMPUTED_VALUE"""),"32 Ю-ЗАП")</f>
        <v>32 Ю-ЗАП</v>
      </c>
      <c r="AC69" t="str">
        <f ca="1">IFERROR(__xludf.DUMMYFUNCTION("""COMPUTED_VALUE"""),"33000 ЖМЕРИНКА")</f>
        <v>33000 ЖМЕРИНКА</v>
      </c>
      <c r="AD69" t="str">
        <f ca="1">IFERROR(__xludf.DUMMYFUNCTION("""COMPUTED_VALUE"""),"10.03.21 11-19")</f>
        <v>10.03.21 11-19</v>
      </c>
      <c r="AE69" t="str">
        <f ca="1">IFERROR(__xludf.DUMMYFUNCTION("""COMPUTED_VALUE"""),"570 ИCТEК КAЛЕНДАРНЫЙ CPOК ДEПOВCКОГО PEМOНТA")</f>
        <v>570 ИCТEК КAЛЕНДАРНЫЙ CPOК ДEПOВCКОГО PEМOНТA</v>
      </c>
      <c r="AF69" t="str">
        <f ca="1">IFERROR(__xludf.DUMMYFUNCTION("""COMPUTED_VALUE"""),"32 Ю-ЗАП")</f>
        <v>32 Ю-ЗАП</v>
      </c>
      <c r="AG69" t="str">
        <f ca="1">IFERROR(__xludf.DUMMYFUNCTION("""COMPUTED_VALUE"""),"33000 ЖМЕРИНКА")</f>
        <v>33000 ЖМЕРИНКА</v>
      </c>
      <c r="AH69" t="str">
        <f ca="1">IFERROR(__xludf.DUMMYFUNCTION("""COMPUTED_VALUE"""),"24.03.21 14-07")</f>
        <v>24.03.21 14-07</v>
      </c>
      <c r="AI69" s="21">
        <f ca="1">IFERROR(__xludf.DUMMYFUNCTION("""COMPUTED_VALUE"""),44420.3576504629)</f>
        <v>44420.357650462902</v>
      </c>
    </row>
    <row r="70" spans="1:35" ht="13" x14ac:dyDescent="0.15">
      <c r="A70">
        <f ca="1">IFERROR(__xludf.DUMMYFUNCTION("""COMPUTED_VALUE"""),149)</f>
        <v>149</v>
      </c>
      <c r="B70" t="str">
        <f ca="1">IFERROR(__xludf.DUMMYFUNCTION("""COMPUTED_VALUE"""),"Кнауф")</f>
        <v>Кнауф</v>
      </c>
      <c r="C70" t="str">
        <f ca="1">IFERROR(__xludf.DUMMYFUNCTION("""COMPUTED_VALUE"""),"Сидрейл")</f>
        <v>Сидрейл</v>
      </c>
      <c r="D70">
        <f ca="1">IFERROR(__xludf.DUMMYFUNCTION("""COMPUTED_VALUE"""),24466500)</f>
        <v>24466500</v>
      </c>
      <c r="E70" t="str">
        <f ca="1">IFERROR(__xludf.DUMMYFUNCTION("""COMPUTED_VALUE"""),"20 КРЫТЫЕ")</f>
        <v>20 КРЫТЫЕ</v>
      </c>
      <c r="F70">
        <f ca="1">IFERROR(__xludf.DUMMYFUNCTION("""COMPUTED_VALUE"""),53105)</f>
        <v>53105</v>
      </c>
      <c r="G70" t="str">
        <f ca="1">IFERROR(__xludf.DUMMYFUNCTION("""COMPUTED_VALUE"""),"СОЛЬ ""ЭКСТРА""")</f>
        <v>СОЛЬ "ЭКСТРА"</v>
      </c>
      <c r="H70">
        <f ca="1">IFERROR(__xludf.DUMMYFUNCTION("""COMPUTED_VALUE"""),68)</f>
        <v>68</v>
      </c>
      <c r="I70">
        <f ca="1">IFERROR(__xludf.DUMMYFUNCTION("""COMPUTED_VALUE"""),2297)</f>
        <v>2297</v>
      </c>
      <c r="J70" t="str">
        <f ca="1">IFERROR(__xludf.DUMMYFUNCTION("""COMPUTED_VALUE"""),"5555 (44020-257-00020) ОСНОВА -")</f>
        <v>5555 (44020-257-00020) ОСНОВА -</v>
      </c>
      <c r="K70">
        <f ca="1">IFERROR(__xludf.DUMMYFUNCTION("""COMPUTED_VALUE"""),44050)</f>
        <v>44050</v>
      </c>
      <c r="L70" t="str">
        <f ca="1">IFERROR(__xludf.DUMMYFUNCTION("""COMPUTED_VALUE"""),"ХАРЬКОВ-БАЛ")</f>
        <v>ХАРЬКОВ-БАЛ</v>
      </c>
      <c r="M70" t="str">
        <f ca="1">IFERROR(__xludf.DUMMYFUNCTION("""COMPUTED_VALUE"""),"12.08.21 03-30")</f>
        <v>12.08.21 03-30</v>
      </c>
      <c r="N70" t="str">
        <f ca="1">IFERROR(__xludf.DUMMYFUNCTION("""COMPUTED_VALUE"""),"21 ВЫГ2")</f>
        <v>21 ВЫГ2</v>
      </c>
      <c r="O70">
        <f ca="1">IFERROR(__xludf.DUMMYFUNCTION("""COMPUTED_VALUE"""),44050)</f>
        <v>44050</v>
      </c>
      <c r="P70" t="str">
        <f ca="1">IFERROR(__xludf.DUMMYFUNCTION("""COMPUTED_VALUE"""),"ХАРЬКОВ-БАЛ")</f>
        <v>ХАРЬКОВ-БАЛ</v>
      </c>
      <c r="Q70">
        <f ca="1">IFERROR(__xludf.DUMMYFUNCTION("""COMPUTED_VALUE"""),49050)</f>
        <v>49050</v>
      </c>
      <c r="R70" t="str">
        <f ca="1">IFERROR(__xludf.DUMMYFUNCTION("""COMPUTED_VALUE"""),"ИМ.КОЖУШКО")</f>
        <v>ИМ.КОЖУШКО</v>
      </c>
      <c r="S70" t="str">
        <f ca="1">IFERROR(__xludf.DUMMYFUNCTION("""COMPUTED_VALUE"""),"09.08.21 17-00")</f>
        <v>09.08.21 17-00</v>
      </c>
      <c r="U70" t="str">
        <f ca="1">IFERROR(__xludf.DUMMYFUNCTION("""COMPUTED_VALUE"""),"01.03.2024 ТР-1")</f>
        <v>01.03.2024 ТР-1</v>
      </c>
      <c r="Z70" t="str">
        <f ca="1">IFERROR(__xludf.DUMMYFUNCTION("""COMPUTED_VALUE"""),"ООО «УКРТРАНСЛОДЖИСТИК»")</f>
        <v>ООО «УКРТРАНСЛОДЖИСТИК»</v>
      </c>
      <c r="AA70" t="str">
        <f ca="1">IFERROR(__xludf.DUMMYFUNCTION("""COMPUTED_VALUE"""),"11-217")</f>
        <v>11-217</v>
      </c>
      <c r="AB70" t="str">
        <f ca="1">IFERROR(__xludf.DUMMYFUNCTION("""COMPUTED_VALUE"""),"43 ЮЖН")</f>
        <v>43 ЮЖН</v>
      </c>
      <c r="AC70" t="str">
        <f ca="1">IFERROR(__xludf.DUMMYFUNCTION("""COMPUTED_VALUE"""),"44020 ОСНОВА")</f>
        <v>44020 ОСНОВА</v>
      </c>
      <c r="AD70" t="str">
        <f ca="1">IFERROR(__xludf.DUMMYFUNCTION("""COMPUTED_VALUE"""),"27.05.21 17-45")</f>
        <v>27.05.21 17-45</v>
      </c>
      <c r="AE70" t="str">
        <f ca="1">IFERROR(__xludf.DUMMYFUNCTION("""COMPUTED_VALUE"""),"537 НEИCПPAВНOCТЬ ЗAПOPA ДВEPИ")</f>
        <v>537 НEИCПPAВНOCТЬ ЗAПOPA ДВEPИ</v>
      </c>
      <c r="AF70" t="str">
        <f ca="1">IFERROR(__xludf.DUMMYFUNCTION("""COMPUTED_VALUE"""),"43 ЮЖН")</f>
        <v>43 ЮЖН</v>
      </c>
      <c r="AG70" t="str">
        <f ca="1">IFERROR(__xludf.DUMMYFUNCTION("""COMPUTED_VALUE"""),"44020 ОСНОВА")</f>
        <v>44020 ОСНОВА</v>
      </c>
      <c r="AH70" t="str">
        <f ca="1">IFERROR(__xludf.DUMMYFUNCTION("""COMPUTED_VALUE"""),"29.05.21 16-40")</f>
        <v>29.05.21 16-40</v>
      </c>
      <c r="AI70" s="21">
        <f ca="1">IFERROR(__xludf.DUMMYFUNCTION("""COMPUTED_VALUE"""),44420.3576504629)</f>
        <v>44420.357650462902</v>
      </c>
    </row>
    <row r="71" spans="1:35" ht="13" x14ac:dyDescent="0.15">
      <c r="A71">
        <f ca="1">IFERROR(__xludf.DUMMYFUNCTION("""COMPUTED_VALUE"""),150)</f>
        <v>150</v>
      </c>
      <c r="B71" t="str">
        <f ca="1">IFERROR(__xludf.DUMMYFUNCTION("""COMPUTED_VALUE"""),"Кнауф")</f>
        <v>Кнауф</v>
      </c>
      <c r="C71" t="str">
        <f ca="1">IFERROR(__xludf.DUMMYFUNCTION("""COMPUTED_VALUE"""),"Сидрейл")</f>
        <v>Сидрейл</v>
      </c>
      <c r="D71">
        <f ca="1">IFERROR(__xludf.DUMMYFUNCTION("""COMPUTED_VALUE"""),24466518)</f>
        <v>24466518</v>
      </c>
      <c r="E71" t="str">
        <f ca="1">IFERROR(__xludf.DUMMYFUNCTION("""COMPUTED_VALUE"""),"20 КРЫТЫЕ")</f>
        <v>20 КРЫТЫЕ</v>
      </c>
      <c r="F71">
        <f ca="1">IFERROR(__xludf.DUMMYFUNCTION("""COMPUTED_VALUE"""),23304)</f>
        <v>23304</v>
      </c>
      <c r="G71" t="str">
        <f ca="1">IFERROR(__xludf.DUMMYFUNCTION("""COMPUTED_VALUE"""),"ГИПС ПР")</f>
        <v>ГИПС ПР</v>
      </c>
      <c r="H71">
        <f ca="1">IFERROR(__xludf.DUMMYFUNCTION("""COMPUTED_VALUE"""),63)</f>
        <v>63</v>
      </c>
      <c r="I71">
        <f ca="1">IFERROR(__xludf.DUMMYFUNCTION("""COMPUTED_VALUE"""),5924)</f>
        <v>5924</v>
      </c>
      <c r="J71" t="str">
        <f ca="1">IFERROR(__xludf.DUMMYFUNCTION("""COMPUTED_VALUE"""),"2209 (32000-526-37040) ДАРНИЦА - КЛЕПАРОВ")</f>
        <v>2209 (32000-526-37040) ДАРНИЦА - КЛЕПАРОВ</v>
      </c>
      <c r="K71">
        <f ca="1">IFERROR(__xludf.DUMMYFUNCTION("""COMPUTED_VALUE"""),37040)</f>
        <v>37040</v>
      </c>
      <c r="L71" t="str">
        <f ca="1">IFERROR(__xludf.DUMMYFUNCTION("""COMPUTED_VALUE"""),"КЛЕПАРОВ")</f>
        <v>КЛЕПАРОВ</v>
      </c>
      <c r="M71" t="str">
        <f ca="1">IFERROR(__xludf.DUMMYFUNCTION("""COMPUTED_VALUE"""),"12.08.21 06-30")</f>
        <v>12.08.21 06-30</v>
      </c>
      <c r="N71" t="str">
        <f ca="1">IFERROR(__xludf.DUMMYFUNCTION("""COMPUTED_VALUE"""),"01 ПРИБ")</f>
        <v>01 ПРИБ</v>
      </c>
      <c r="O71">
        <f ca="1">IFERROR(__xludf.DUMMYFUNCTION("""COMPUTED_VALUE"""),37030)</f>
        <v>37030</v>
      </c>
      <c r="P71" t="str">
        <f ca="1">IFERROR(__xludf.DUMMYFUNCTION("""COMPUTED_VALUE"""),"СКНИЛОВ")</f>
        <v>СКНИЛОВ</v>
      </c>
      <c r="Q71">
        <f ca="1">IFERROR(__xludf.DUMMYFUNCTION("""COMPUTED_VALUE"""),49620)</f>
        <v>49620</v>
      </c>
      <c r="R71" t="str">
        <f ca="1">IFERROR(__xludf.DUMMYFUNCTION("""COMPUTED_VALUE"""),"ДЕКОНСКАЯ")</f>
        <v>ДЕКОНСКАЯ</v>
      </c>
      <c r="S71" t="str">
        <f ca="1">IFERROR(__xludf.DUMMYFUNCTION("""COMPUTED_VALUE"""),"05.08.21 09-00")</f>
        <v>05.08.21 09-00</v>
      </c>
      <c r="T71">
        <f ca="1">IFERROR(__xludf.DUMMYFUNCTION("""COMPUTED_VALUE"""),4149)</f>
        <v>4149</v>
      </c>
      <c r="U71" t="str">
        <f ca="1">IFERROR(__xludf.DUMMYFUNCTION("""COMPUTED_VALUE"""),"01.03.2024 ТР-1")</f>
        <v>01.03.2024 ТР-1</v>
      </c>
      <c r="Z71" t="str">
        <f ca="1">IFERROR(__xludf.DUMMYFUNCTION("""COMPUTED_VALUE"""),"ООО «УКРТРАНСЛОДЖИСТИК»")</f>
        <v>ООО «УКРТРАНСЛОДЖИСТИК»</v>
      </c>
      <c r="AA71" t="str">
        <f ca="1">IFERROR(__xludf.DUMMYFUNCTION("""COMPUTED_VALUE"""),"11-217")</f>
        <v>11-217</v>
      </c>
      <c r="AB71" t="str">
        <f ca="1">IFERROR(__xludf.DUMMYFUNCTION("""COMPUTED_VALUE"""),"43 ЮЖН")</f>
        <v>43 ЮЖН</v>
      </c>
      <c r="AC71" t="str">
        <f ca="1">IFERROR(__xludf.DUMMYFUNCTION("""COMPUTED_VALUE"""),"44020 ОСНОВА")</f>
        <v>44020 ОСНОВА</v>
      </c>
      <c r="AD71" t="str">
        <f ca="1">IFERROR(__xludf.DUMMYFUNCTION("""COMPUTED_VALUE"""),"26.07.21 10-56")</f>
        <v>26.07.21 10-56</v>
      </c>
      <c r="AE71" t="str">
        <f ca="1">IFERROR(__xludf.DUMMYFUNCTION("""COMPUTED_VALUE"""),"537 НEИCПPAВНOCТЬ ЗAПOPA ДВEPИ")</f>
        <v>537 НEИCПPAВНOCТЬ ЗAПOPA ДВEPИ</v>
      </c>
      <c r="AF71" t="str">
        <f ca="1">IFERROR(__xludf.DUMMYFUNCTION("""COMPUTED_VALUE"""),"43 ЮЖН")</f>
        <v>43 ЮЖН</v>
      </c>
      <c r="AG71" t="str">
        <f ca="1">IFERROR(__xludf.DUMMYFUNCTION("""COMPUTED_VALUE"""),"44020 ОСНОВА")</f>
        <v>44020 ОСНОВА</v>
      </c>
      <c r="AH71" t="str">
        <f ca="1">IFERROR(__xludf.DUMMYFUNCTION("""COMPUTED_VALUE"""),"27.07.21 17-05")</f>
        <v>27.07.21 17-05</v>
      </c>
      <c r="AI71" s="21">
        <f ca="1">IFERROR(__xludf.DUMMYFUNCTION("""COMPUTED_VALUE"""),44420.3576504629)</f>
        <v>44420.357650462902</v>
      </c>
    </row>
    <row r="72" spans="1:35" ht="13" x14ac:dyDescent="0.15">
      <c r="A72">
        <f ca="1">IFERROR(__xludf.DUMMYFUNCTION("""COMPUTED_VALUE"""),151)</f>
        <v>151</v>
      </c>
      <c r="B72" t="str">
        <f ca="1">IFERROR(__xludf.DUMMYFUNCTION("""COMPUTED_VALUE"""),"Кнауф")</f>
        <v>Кнауф</v>
      </c>
      <c r="C72" t="str">
        <f ca="1">IFERROR(__xludf.DUMMYFUNCTION("""COMPUTED_VALUE"""),"Сидрейл")</f>
        <v>Сидрейл</v>
      </c>
      <c r="D72">
        <f ca="1">IFERROR(__xludf.DUMMYFUNCTION("""COMPUTED_VALUE"""),24466666)</f>
        <v>24466666</v>
      </c>
      <c r="E72" t="str">
        <f ca="1">IFERROR(__xludf.DUMMYFUNCTION("""COMPUTED_VALUE"""),"20 КРЫТЫЕ")</f>
        <v>20 КРЫТЫЕ</v>
      </c>
      <c r="F72">
        <f ca="1">IFERROR(__xludf.DUMMYFUNCTION("""COMPUTED_VALUE"""),42103)</f>
        <v>42103</v>
      </c>
      <c r="G72" t="str">
        <f ca="1">IFERROR(__xludf.DUMMYFUNCTION("""COMPUTED_VALUE"""),"ВАГОНЫ ЖД СВ")</f>
        <v>ВАГОНЫ ЖД СВ</v>
      </c>
      <c r="H72">
        <f ca="1">IFERROR(__xludf.DUMMYFUNCTION("""COMPUTED_VALUE"""),0)</f>
        <v>0</v>
      </c>
      <c r="I72">
        <f ca="1">IFERROR(__xludf.DUMMYFUNCTION("""COMPUTED_VALUE"""),9999)</f>
        <v>9999</v>
      </c>
      <c r="J72" t="str">
        <f ca="1">IFERROR(__xludf.DUMMYFUNCTION("""COMPUTED_VALUE"""),"3601 (35000-074-35900) ЗДОЛБУНОВ - КИВЕРЦЫ")</f>
        <v>3601 (35000-074-35900) ЗДОЛБУНОВ - КИВЕРЦЫ</v>
      </c>
      <c r="K72">
        <f ca="1">IFERROR(__xludf.DUMMYFUNCTION("""COMPUTED_VALUE"""),35660)</f>
        <v>35660</v>
      </c>
      <c r="L72" t="str">
        <f ca="1">IFERROR(__xludf.DUMMYFUNCTION("""COMPUTED_VALUE"""),"РОВНО")</f>
        <v>РОВНО</v>
      </c>
      <c r="M72" t="str">
        <f ca="1">IFERROR(__xludf.DUMMYFUNCTION("""COMPUTED_VALUE"""),"11.08.21 18-45")</f>
        <v>11.08.21 18-45</v>
      </c>
      <c r="N72" t="str">
        <f ca="1">IFERROR(__xludf.DUMMYFUNCTION("""COMPUTED_VALUE"""),"92 ЗДРЖ")</f>
        <v>92 ЗДРЖ</v>
      </c>
      <c r="O72">
        <f ca="1">IFERROR(__xludf.DUMMYFUNCTION("""COMPUTED_VALUE"""),35260)</f>
        <v>35260</v>
      </c>
      <c r="P72" t="str">
        <f ca="1">IFERROR(__xludf.DUMMYFUNCTION("""COMPUTED_VALUE"""),"ИЗОВ-Э-ПКП")</f>
        <v>ИЗОВ-Э-ПКП</v>
      </c>
      <c r="Q72">
        <f ca="1">IFERROR(__xludf.DUMMYFUNCTION("""COMPUTED_VALUE"""),35660)</f>
        <v>35660</v>
      </c>
      <c r="R72" t="str">
        <f ca="1">IFERROR(__xludf.DUMMYFUNCTION("""COMPUTED_VALUE"""),"РОВНО")</f>
        <v>РОВНО</v>
      </c>
      <c r="S72" t="str">
        <f ca="1">IFERROR(__xludf.DUMMYFUNCTION("""COMPUTED_VALUE"""),"11.08.21 18-45")</f>
        <v>11.08.21 18-45</v>
      </c>
      <c r="T72">
        <f ca="1">IFERROR(__xludf.DUMMYFUNCTION("""COMPUTED_VALUE"""),8200)</f>
        <v>8200</v>
      </c>
      <c r="U72" t="str">
        <f ca="1">IFERROR(__xludf.DUMMYFUNCTION("""COMPUTED_VALUE"""),"01.03.2024 ТР-1")</f>
        <v>01.03.2024 ТР-1</v>
      </c>
      <c r="Z72" t="str">
        <f ca="1">IFERROR(__xludf.DUMMYFUNCTION("""COMPUTED_VALUE"""),"ООО «УКРТРАНСЛОДЖИСТИК»")</f>
        <v>ООО «УКРТРАНСЛОДЖИСТИК»</v>
      </c>
      <c r="AA72" t="str">
        <f ca="1">IFERROR(__xludf.DUMMYFUNCTION("""COMPUTED_VALUE"""),"11-217")</f>
        <v>11-217</v>
      </c>
      <c r="AB72" t="str">
        <f ca="1">IFERROR(__xludf.DUMMYFUNCTION("""COMPUTED_VALUE"""),"40 ОД")</f>
        <v>40 ОД</v>
      </c>
      <c r="AC72" t="str">
        <f ca="1">IFERROR(__xludf.DUMMYFUNCTION("""COMPUTED_VALUE"""),"40200 ЧЕРНОМОРСК-П")</f>
        <v>40200 ЧЕРНОМОРСК-П</v>
      </c>
      <c r="AD72" t="str">
        <f ca="1">IFERROR(__xludf.DUMMYFUNCTION("""COMPUTED_VALUE"""),"28.05.21 17-49")</f>
        <v>28.05.21 17-49</v>
      </c>
      <c r="AE72" t="str">
        <f ca="1">IFERROR(__xludf.DUMMYFUNCTION("""COMPUTED_VALUE"""),"537 НEИCПPAВНOCТЬ ЗAПOPA ДВEPИ")</f>
        <v>537 НEИCПPAВНOCТЬ ЗAПOPA ДВEPИ</v>
      </c>
      <c r="AF72" t="str">
        <f ca="1">IFERROR(__xludf.DUMMYFUNCTION("""COMPUTED_VALUE"""),"40 ОД")</f>
        <v>40 ОД</v>
      </c>
      <c r="AG72" t="str">
        <f ca="1">IFERROR(__xludf.DUMMYFUNCTION("""COMPUTED_VALUE"""),"40200 ЧЕРНОМОРСК-П")</f>
        <v>40200 ЧЕРНОМОРСК-П</v>
      </c>
      <c r="AH72" t="str">
        <f ca="1">IFERROR(__xludf.DUMMYFUNCTION("""COMPUTED_VALUE"""),"01.06.21 14-00")</f>
        <v>01.06.21 14-00</v>
      </c>
      <c r="AI72" s="21">
        <f ca="1">IFERROR(__xludf.DUMMYFUNCTION("""COMPUTED_VALUE"""),44420.3576504629)</f>
        <v>44420.357650462902</v>
      </c>
    </row>
    <row r="73" spans="1:35" ht="13" x14ac:dyDescent="0.15">
      <c r="A73">
        <f ca="1">IFERROR(__xludf.DUMMYFUNCTION("""COMPUTED_VALUE"""),152)</f>
        <v>152</v>
      </c>
      <c r="B73" t="str">
        <f ca="1">IFERROR(__xludf.DUMMYFUNCTION("""COMPUTED_VALUE"""),"Кнауф")</f>
        <v>Кнауф</v>
      </c>
      <c r="C73" t="str">
        <f ca="1">IFERROR(__xludf.DUMMYFUNCTION("""COMPUTED_VALUE"""),"Трансфорвардинг")</f>
        <v>Трансфорвардинг</v>
      </c>
      <c r="D73">
        <f ca="1">IFERROR(__xludf.DUMMYFUNCTION("""COMPUTED_VALUE"""),52456639)</f>
        <v>52456639</v>
      </c>
      <c r="E73" t="str">
        <f ca="1">IFERROR(__xludf.DUMMYFUNCTION("""COMPUTED_VALUE"""),"20 КРЫТЫЕ")</f>
        <v>20 КРЫТЫЕ</v>
      </c>
      <c r="F73">
        <f ca="1">IFERROR(__xludf.DUMMYFUNCTION("""COMPUTED_VALUE"""),28114)</f>
        <v>28114</v>
      </c>
      <c r="G73" t="str">
        <f ca="1">IFERROR(__xludf.DUMMYFUNCTION("""COMPUTED_VALUE"""),"ЦЕМЕНТ ПР")</f>
        <v>ЦЕМЕНТ ПР</v>
      </c>
      <c r="H73">
        <f ca="1">IFERROR(__xludf.DUMMYFUNCTION("""COMPUTED_VALUE"""),68)</f>
        <v>68</v>
      </c>
      <c r="I73">
        <f ca="1">IFERROR(__xludf.DUMMYFUNCTION("""COMPUTED_VALUE"""),1494)</f>
        <v>1494</v>
      </c>
      <c r="J73" t="str">
        <f ca="1">IFERROR(__xludf.DUMMYFUNCTION("""COMPUTED_VALUE"""),"2834 (37000-715-42500) ЛЬВОВ - КРЕМЕНЧУГ")</f>
        <v>2834 (37000-715-42500) ЛЬВОВ - КРЕМЕНЧУГ</v>
      </c>
      <c r="K73">
        <f ca="1">IFERROR(__xludf.DUMMYFUNCTION("""COMPUTED_VALUE"""),34200)</f>
        <v>34200</v>
      </c>
      <c r="L73" t="str">
        <f ca="1">IFERROR(__xludf.DUMMYFUNCTION("""COMPUTED_VALUE"""),"РАЗИНО")</f>
        <v>РАЗИНО</v>
      </c>
      <c r="M73" t="str">
        <f ca="1">IFERROR(__xludf.DUMMYFUNCTION("""COMPUTED_VALUE"""),"12.08.21 08-08")</f>
        <v>12.08.21 08-08</v>
      </c>
      <c r="N73" t="str">
        <f ca="1">IFERROR(__xludf.DUMMYFUNCTION("""COMPUTED_VALUE"""),"03 ПРОС")</f>
        <v>03 ПРОС</v>
      </c>
      <c r="O73">
        <f ca="1">IFERROR(__xludf.DUMMYFUNCTION("""COMPUTED_VALUE"""),44050)</f>
        <v>44050</v>
      </c>
      <c r="P73" t="str">
        <f ca="1">IFERROR(__xludf.DUMMYFUNCTION("""COMPUTED_VALUE"""),"ХАРЬКОВ-БАЛ")</f>
        <v>ХАРЬКОВ-БАЛ</v>
      </c>
      <c r="Q73">
        <f ca="1">IFERROR(__xludf.DUMMYFUNCTION("""COMPUTED_VALUE"""),38830)</f>
        <v>38830</v>
      </c>
      <c r="R73" t="str">
        <f ca="1">IFERROR(__xludf.DUMMYFUNCTION("""COMPUTED_VALUE"""),"ЯМНИЦА")</f>
        <v>ЯМНИЦА</v>
      </c>
      <c r="S73" t="str">
        <f ca="1">IFERROR(__xludf.DUMMYFUNCTION("""COMPUTED_VALUE"""),"04.08.21 03-30")</f>
        <v>04.08.21 03-30</v>
      </c>
      <c r="T73">
        <f ca="1">IFERROR(__xludf.DUMMYFUNCTION("""COMPUTED_VALUE"""),8199)</f>
        <v>8199</v>
      </c>
      <c r="U73" t="str">
        <f ca="1">IFERROR(__xludf.DUMMYFUNCTION("""COMPUTED_VALUE"""),"31.08.2021 ДР")</f>
        <v>31.08.2021 ДР</v>
      </c>
      <c r="Z73" t="str">
        <f ca="1">IFERROR(__xludf.DUMMYFUNCTION("""COMPUTED_VALUE"""),"ЧАО «ТРАНСФОРВАРДИНГ ЛИМИТЕД АГ»")</f>
        <v>ЧАО «ТРАНСФОРВАРДИНГ ЛИМИТЕД АГ»</v>
      </c>
      <c r="AA73" t="str">
        <f ca="1">IFERROR(__xludf.DUMMYFUNCTION("""COMPUTED_VALUE"""),"11-217")</f>
        <v>11-217</v>
      </c>
      <c r="AB73" t="str">
        <f ca="1">IFERROR(__xludf.DUMMYFUNCTION("""COMPUTED_VALUE"""),"48 ДОН")</f>
        <v>48 ДОН</v>
      </c>
      <c r="AC73" t="str">
        <f ca="1">IFERROR(__xludf.DUMMYFUNCTION("""COMPUTED_VALUE"""),"49480 СОЛЬ")</f>
        <v>49480 СОЛЬ</v>
      </c>
      <c r="AD73" t="str">
        <f ca="1">IFERROR(__xludf.DUMMYFUNCTION("""COMPUTED_VALUE"""),"07.10.20 22-03")</f>
        <v>07.10.20 22-03</v>
      </c>
      <c r="AE73" t="str">
        <f ca="1">IFERROR(__xludf.DUMMYFUNCTION("""COMPUTED_VALUE"""),"563")</f>
        <v>563</v>
      </c>
      <c r="AF73" t="str">
        <f ca="1">IFERROR(__xludf.DUMMYFUNCTION("""COMPUTED_VALUE"""),"48 ДОН")</f>
        <v>48 ДОН</v>
      </c>
      <c r="AG73" t="str">
        <f ca="1">IFERROR(__xludf.DUMMYFUNCTION("""COMPUTED_VALUE"""),"49480 СОЛЬ")</f>
        <v>49480 СОЛЬ</v>
      </c>
      <c r="AH73" t="str">
        <f ca="1">IFERROR(__xludf.DUMMYFUNCTION("""COMPUTED_VALUE"""),"08.10.20 16-00")</f>
        <v>08.10.20 16-00</v>
      </c>
      <c r="AI73" s="21">
        <f ca="1">IFERROR(__xludf.DUMMYFUNCTION("""COMPUTED_VALUE"""),44420.3576504629)</f>
        <v>44420.357650462902</v>
      </c>
    </row>
    <row r="74" spans="1:35" ht="13" x14ac:dyDescent="0.15">
      <c r="A74">
        <f ca="1">IFERROR(__xludf.DUMMYFUNCTION("""COMPUTED_VALUE"""),153)</f>
        <v>153</v>
      </c>
      <c r="B74" t="str">
        <f ca="1">IFERROR(__xludf.DUMMYFUNCTION("""COMPUTED_VALUE"""),"Кнауф")</f>
        <v>Кнауф</v>
      </c>
      <c r="C74" t="str">
        <f ca="1">IFERROR(__xludf.DUMMYFUNCTION("""COMPUTED_VALUE"""),"Трансфорвардинг")</f>
        <v>Трансфорвардинг</v>
      </c>
      <c r="D74">
        <f ca="1">IFERROR(__xludf.DUMMYFUNCTION("""COMPUTED_VALUE"""),52456712)</f>
        <v>52456712</v>
      </c>
      <c r="E74" t="str">
        <f ca="1">IFERROR(__xludf.DUMMYFUNCTION("""COMPUTED_VALUE"""),"20 КРЫТЫЕ")</f>
        <v>20 КРЫТЫЕ</v>
      </c>
      <c r="F74">
        <f ca="1">IFERROR(__xludf.DUMMYFUNCTION("""COMPUTED_VALUE"""),28114)</f>
        <v>28114</v>
      </c>
      <c r="G74" t="str">
        <f ca="1">IFERROR(__xludf.DUMMYFUNCTION("""COMPUTED_VALUE"""),"ЦЕМЕНТ ПР")</f>
        <v>ЦЕМЕНТ ПР</v>
      </c>
      <c r="H74">
        <f ca="1">IFERROR(__xludf.DUMMYFUNCTION("""COMPUTED_VALUE"""),68)</f>
        <v>68</v>
      </c>
      <c r="I74">
        <f ca="1">IFERROR(__xludf.DUMMYFUNCTION("""COMPUTED_VALUE"""),1494)</f>
        <v>1494</v>
      </c>
      <c r="J74" t="str">
        <f ca="1">IFERROR(__xludf.DUMMYFUNCTION("""COMPUTED_VALUE"""),"1111 (38830-084-37000) ЯМНИЦА - ЛЬВОВ")</f>
        <v>1111 (38830-084-37000) ЯМНИЦА - ЛЬВОВ</v>
      </c>
      <c r="K74">
        <f ca="1">IFERROR(__xludf.DUMMYFUNCTION("""COMPUTED_VALUE"""),38830)</f>
        <v>38830</v>
      </c>
      <c r="L74" t="str">
        <f ca="1">IFERROR(__xludf.DUMMYFUNCTION("""COMPUTED_VALUE"""),"ЯМНИЦА")</f>
        <v>ЯМНИЦА</v>
      </c>
      <c r="M74" t="str">
        <f ca="1">IFERROR(__xludf.DUMMYFUNCTION("""COMPUTED_VALUE"""),"11.08.21 13-19")</f>
        <v>11.08.21 13-19</v>
      </c>
      <c r="N74" t="str">
        <f ca="1">IFERROR(__xludf.DUMMYFUNCTION("""COMPUTED_VALUE"""),"05 ФОРМ")</f>
        <v>05 ФОРМ</v>
      </c>
      <c r="O74">
        <f ca="1">IFERROR(__xludf.DUMMYFUNCTION("""COMPUTED_VALUE"""),44050)</f>
        <v>44050</v>
      </c>
      <c r="P74" t="str">
        <f ca="1">IFERROR(__xludf.DUMMYFUNCTION("""COMPUTED_VALUE"""),"ХАРЬКОВ-БАЛ")</f>
        <v>ХАРЬКОВ-БАЛ</v>
      </c>
      <c r="Q74">
        <f ca="1">IFERROR(__xludf.DUMMYFUNCTION("""COMPUTED_VALUE"""),38830)</f>
        <v>38830</v>
      </c>
      <c r="R74" t="str">
        <f ca="1">IFERROR(__xludf.DUMMYFUNCTION("""COMPUTED_VALUE"""),"ЯМНИЦА")</f>
        <v>ЯМНИЦА</v>
      </c>
      <c r="S74" t="str">
        <f ca="1">IFERROR(__xludf.DUMMYFUNCTION("""COMPUTED_VALUE"""),"11.08.21 09-15")</f>
        <v>11.08.21 09-15</v>
      </c>
      <c r="T74">
        <f ca="1">IFERROR(__xludf.DUMMYFUNCTION("""COMPUTED_VALUE"""),8199)</f>
        <v>8199</v>
      </c>
      <c r="U74" t="str">
        <f ca="1">IFERROR(__xludf.DUMMYFUNCTION("""COMPUTED_VALUE"""),"04.01.2022 ДР")</f>
        <v>04.01.2022 ДР</v>
      </c>
      <c r="Z74" t="str">
        <f ca="1">IFERROR(__xludf.DUMMYFUNCTION("""COMPUTED_VALUE"""),"ЧАО «ТРАНСФОРВАРДИНГ ЛИМИТЕД АГ»")</f>
        <v>ЧАО «ТРАНСФОРВАРДИНГ ЛИМИТЕД АГ»</v>
      </c>
      <c r="AA74" t="str">
        <f ca="1">IFERROR(__xludf.DUMMYFUNCTION("""COMPUTED_VALUE"""),"11-217")</f>
        <v>11-217</v>
      </c>
      <c r="AB74" t="str">
        <f ca="1">IFERROR(__xludf.DUMMYFUNCTION("""COMPUTED_VALUE"""),"48 ДОН")</f>
        <v>48 ДОН</v>
      </c>
      <c r="AC74" t="str">
        <f ca="1">IFERROR(__xludf.DUMMYFUNCTION("""COMPUTED_VALUE"""),"49480 СОЛЬ")</f>
        <v>49480 СОЛЬ</v>
      </c>
      <c r="AD74" t="str">
        <f ca="1">IFERROR(__xludf.DUMMYFUNCTION("""COMPUTED_VALUE"""),"10.06.21 12-40")</f>
        <v>10.06.21 12-40</v>
      </c>
      <c r="AE74" t="str">
        <f ca="1">IFERROR(__xludf.DUMMYFUNCTION("""COMPUTED_VALUE"""),"563")</f>
        <v>563</v>
      </c>
      <c r="AF74" t="str">
        <f ca="1">IFERROR(__xludf.DUMMYFUNCTION("""COMPUTED_VALUE"""),"48 ДОН")</f>
        <v>48 ДОН</v>
      </c>
      <c r="AG74" t="str">
        <f ca="1">IFERROR(__xludf.DUMMYFUNCTION("""COMPUTED_VALUE"""),"49480 СОЛЬ")</f>
        <v>49480 СОЛЬ</v>
      </c>
      <c r="AH74" t="str">
        <f ca="1">IFERROR(__xludf.DUMMYFUNCTION("""COMPUTED_VALUE"""),"20.06.21 11-00")</f>
        <v>20.06.21 11-00</v>
      </c>
      <c r="AI74" s="21">
        <f ca="1">IFERROR(__xludf.DUMMYFUNCTION("""COMPUTED_VALUE"""),44420.3576504629)</f>
        <v>44420.357650462902</v>
      </c>
    </row>
    <row r="75" spans="1:35" ht="13" x14ac:dyDescent="0.15">
      <c r="A75">
        <f ca="1">IFERROR(__xludf.DUMMYFUNCTION("""COMPUTED_VALUE"""),154)</f>
        <v>154</v>
      </c>
      <c r="B75" t="str">
        <f ca="1">IFERROR(__xludf.DUMMYFUNCTION("""COMPUTED_VALUE"""),"Харьковсоль")</f>
        <v>Харьковсоль</v>
      </c>
      <c r="C75" t="str">
        <f ca="1">IFERROR(__xludf.DUMMYFUNCTION("""COMPUTED_VALUE"""),"Трансфорвардинг")</f>
        <v>Трансфорвардинг</v>
      </c>
      <c r="D75">
        <f ca="1">IFERROR(__xludf.DUMMYFUNCTION("""COMPUTED_VALUE"""),52456746)</f>
        <v>52456746</v>
      </c>
      <c r="E75" t="str">
        <f ca="1">IFERROR(__xludf.DUMMYFUNCTION("""COMPUTED_VALUE"""),"20 КРЫТЫЕ")</f>
        <v>20 КРЫТЫЕ</v>
      </c>
      <c r="F75">
        <f ca="1">IFERROR(__xludf.DUMMYFUNCTION("""COMPUTED_VALUE"""),28114)</f>
        <v>28114</v>
      </c>
      <c r="G75" t="str">
        <f ca="1">IFERROR(__xludf.DUMMYFUNCTION("""COMPUTED_VALUE"""),"ЦЕМЕНТ ПР")</f>
        <v>ЦЕМЕНТ ПР</v>
      </c>
      <c r="H75">
        <f ca="1">IFERROR(__xludf.DUMMYFUNCTION("""COMPUTED_VALUE"""),68)</f>
        <v>68</v>
      </c>
      <c r="I75">
        <f ca="1">IFERROR(__xludf.DUMMYFUNCTION("""COMPUTED_VALUE"""),1494)</f>
        <v>1494</v>
      </c>
      <c r="J75" t="str">
        <f ca="1">IFERROR(__xludf.DUMMYFUNCTION("""COMPUTED_VALUE"""),"5555 (44000-273-00050) ХАРЬКОВ-СОРТ -")</f>
        <v>5555 (44000-273-00050) ХАРЬКОВ-СОРТ -</v>
      </c>
      <c r="K75">
        <f ca="1">IFERROR(__xludf.DUMMYFUNCTION("""COMPUTED_VALUE"""),44000)</f>
        <v>44000</v>
      </c>
      <c r="L75" t="str">
        <f ca="1">IFERROR(__xludf.DUMMYFUNCTION("""COMPUTED_VALUE"""),"ХАРЬКОВ-СОРТ")</f>
        <v>ХАРЬКОВ-СОРТ</v>
      </c>
      <c r="M75" t="str">
        <f ca="1">IFERROR(__xludf.DUMMYFUNCTION("""COMPUTED_VALUE"""),"12.08.21 07-10")</f>
        <v>12.08.21 07-10</v>
      </c>
      <c r="N75" t="str">
        <f ca="1">IFERROR(__xludf.DUMMYFUNCTION("""COMPUTED_VALUE"""),"04 РАСФ")</f>
        <v>04 РАСФ</v>
      </c>
      <c r="O75">
        <f ca="1">IFERROR(__xludf.DUMMYFUNCTION("""COMPUTED_VALUE"""),44050)</f>
        <v>44050</v>
      </c>
      <c r="P75" t="str">
        <f ca="1">IFERROR(__xludf.DUMMYFUNCTION("""COMPUTED_VALUE"""),"ХАРЬКОВ-БАЛ")</f>
        <v>ХАРЬКОВ-БАЛ</v>
      </c>
      <c r="Q75">
        <f ca="1">IFERROR(__xludf.DUMMYFUNCTION("""COMPUTED_VALUE"""),38830)</f>
        <v>38830</v>
      </c>
      <c r="R75" t="str">
        <f ca="1">IFERROR(__xludf.DUMMYFUNCTION("""COMPUTED_VALUE"""),"ЯМНИЦА")</f>
        <v>ЯМНИЦА</v>
      </c>
      <c r="S75" t="str">
        <f ca="1">IFERROR(__xludf.DUMMYFUNCTION("""COMPUTED_VALUE"""),"07.08.21 05-10")</f>
        <v>07.08.21 05-10</v>
      </c>
      <c r="T75">
        <f ca="1">IFERROR(__xludf.DUMMYFUNCTION("""COMPUTED_VALUE"""),8199)</f>
        <v>8199</v>
      </c>
      <c r="U75" t="str">
        <f ca="1">IFERROR(__xludf.DUMMYFUNCTION("""COMPUTED_VALUE"""),"26.12.2021 ДР")</f>
        <v>26.12.2021 ДР</v>
      </c>
      <c r="Z75" t="str">
        <f ca="1">IFERROR(__xludf.DUMMYFUNCTION("""COMPUTED_VALUE"""),"ЧАО «ТРАНСФОРВАРДИНГ ЛИМИТЕД АГ»")</f>
        <v>ЧАО «ТРАНСФОРВАРДИНГ ЛИМИТЕД АГ»</v>
      </c>
      <c r="AA75" t="str">
        <f ca="1">IFERROR(__xludf.DUMMYFUNCTION("""COMPUTED_VALUE"""),"11-217")</f>
        <v>11-217</v>
      </c>
      <c r="AB75" t="str">
        <f ca="1">IFERROR(__xludf.DUMMYFUNCTION("""COMPUTED_VALUE"""),"48 ДОН")</f>
        <v>48 ДОН</v>
      </c>
      <c r="AC75" t="str">
        <f ca="1">IFERROR(__xludf.DUMMYFUNCTION("""COMPUTED_VALUE"""),"49480 СОЛЬ")</f>
        <v>49480 СОЛЬ</v>
      </c>
      <c r="AD75" t="str">
        <f ca="1">IFERROR(__xludf.DUMMYFUNCTION("""COMPUTED_VALUE"""),"10.06.21 12-40")</f>
        <v>10.06.21 12-40</v>
      </c>
      <c r="AE75" t="str">
        <f ca="1">IFERROR(__xludf.DUMMYFUNCTION("""COMPUTED_VALUE"""),"563")</f>
        <v>563</v>
      </c>
      <c r="AF75" t="str">
        <f ca="1">IFERROR(__xludf.DUMMYFUNCTION("""COMPUTED_VALUE"""),"48 ДОН")</f>
        <v>48 ДОН</v>
      </c>
      <c r="AG75" t="str">
        <f ca="1">IFERROR(__xludf.DUMMYFUNCTION("""COMPUTED_VALUE"""),"49480 СОЛЬ")</f>
        <v>49480 СОЛЬ</v>
      </c>
      <c r="AH75" t="str">
        <f ca="1">IFERROR(__xludf.DUMMYFUNCTION("""COMPUTED_VALUE"""),"20.06.21 15-00")</f>
        <v>20.06.21 15-00</v>
      </c>
      <c r="AI75" s="21">
        <f ca="1">IFERROR(__xludf.DUMMYFUNCTION("""COMPUTED_VALUE"""),44420.3576504629)</f>
        <v>44420.357650462902</v>
      </c>
    </row>
    <row r="76" spans="1:35" ht="13" x14ac:dyDescent="0.15">
      <c r="A76">
        <f ca="1">IFERROR(__xludf.DUMMYFUNCTION("""COMPUTED_VALUE"""),155)</f>
        <v>155</v>
      </c>
      <c r="B76" t="str">
        <f ca="1">IFERROR(__xludf.DUMMYFUNCTION("""COMPUTED_VALUE"""),"Кнауф")</f>
        <v>Кнауф</v>
      </c>
      <c r="C76" t="str">
        <f ca="1">IFERROR(__xludf.DUMMYFUNCTION("""COMPUTED_VALUE"""),"Трансфорвардинг")</f>
        <v>Трансфорвардинг</v>
      </c>
      <c r="D76">
        <f ca="1">IFERROR(__xludf.DUMMYFUNCTION("""COMPUTED_VALUE"""),52034956)</f>
        <v>52034956</v>
      </c>
      <c r="E76" t="str">
        <f ca="1">IFERROR(__xludf.DUMMYFUNCTION("""COMPUTED_VALUE"""),"20 КРЫТЫЕ")</f>
        <v>20 КРЫТЫЕ</v>
      </c>
      <c r="F76">
        <f ca="1">IFERROR(__xludf.DUMMYFUNCTION("""COMPUTED_VALUE"""),42103)</f>
        <v>42103</v>
      </c>
      <c r="G76" t="str">
        <f ca="1">IFERROR(__xludf.DUMMYFUNCTION("""COMPUTED_VALUE"""),"ВАГОНЫ ЖД СВ")</f>
        <v>ВАГОНЫ ЖД СВ</v>
      </c>
      <c r="H76">
        <f ca="1">IFERROR(__xludf.DUMMYFUNCTION("""COMPUTED_VALUE"""),0)</f>
        <v>0</v>
      </c>
      <c r="I76">
        <f ca="1">IFERROR(__xludf.DUMMYFUNCTION("""COMPUTED_VALUE"""),4149)</f>
        <v>4149</v>
      </c>
      <c r="J76" t="str">
        <f ca="1">IFERROR(__xludf.DUMMYFUNCTION("""COMPUTED_VALUE"""),"4802 (44090-012-44020) ЗАЛЮТИНО - ОСНОВА")</f>
        <v>4802 (44090-012-44020) ЗАЛЮТИНО - ОСНОВА</v>
      </c>
      <c r="K76">
        <f ca="1">IFERROR(__xludf.DUMMYFUNCTION("""COMPUTED_VALUE"""),44090)</f>
        <v>44090</v>
      </c>
      <c r="L76" t="str">
        <f ca="1">IFERROR(__xludf.DUMMYFUNCTION("""COMPUTED_VALUE"""),"ЗАЛЮТИНО")</f>
        <v>ЗАЛЮТИНО</v>
      </c>
      <c r="M76" t="str">
        <f ca="1">IFERROR(__xludf.DUMMYFUNCTION("""COMPUTED_VALUE"""),"12.08.21 03-13")</f>
        <v>12.08.21 03-13</v>
      </c>
      <c r="N76" t="str">
        <f ca="1">IFERROR(__xludf.DUMMYFUNCTION("""COMPUTED_VALUE"""),"05 ФОРМ")</f>
        <v>05 ФОРМ</v>
      </c>
      <c r="O76">
        <f ca="1">IFERROR(__xludf.DUMMYFUNCTION("""COMPUTED_VALUE"""),49620)</f>
        <v>49620</v>
      </c>
      <c r="P76" t="str">
        <f ca="1">IFERROR(__xludf.DUMMYFUNCTION("""COMPUTED_VALUE"""),"ДЕКОНСКАЯ")</f>
        <v>ДЕКОНСКАЯ</v>
      </c>
      <c r="Q76">
        <f ca="1">IFERROR(__xludf.DUMMYFUNCTION("""COMPUTED_VALUE"""),44090)</f>
        <v>44090</v>
      </c>
      <c r="R76" t="str">
        <f ca="1">IFERROR(__xludf.DUMMYFUNCTION("""COMPUTED_VALUE"""),"ЗАЛЮТИНО")</f>
        <v>ЗАЛЮТИНО</v>
      </c>
      <c r="S76" t="str">
        <f ca="1">IFERROR(__xludf.DUMMYFUNCTION("""COMPUTED_VALUE"""),"10.08.21 17-50")</f>
        <v>10.08.21 17-50</v>
      </c>
      <c r="T76">
        <f ca="1">IFERROR(__xludf.DUMMYFUNCTION("""COMPUTED_VALUE"""),8200)</f>
        <v>8200</v>
      </c>
      <c r="U76" t="str">
        <f ca="1">IFERROR(__xludf.DUMMYFUNCTION("""COMPUTED_VALUE"""),"18.05.2024 ДР")</f>
        <v>18.05.2024 ДР</v>
      </c>
      <c r="Z76" t="str">
        <f ca="1">IFERROR(__xludf.DUMMYFUNCTION("""COMPUTED_VALUE"""),"ЧАО «ТРАНСФОРВАРДИНГ ЛИМИТЕД АГ»")</f>
        <v>ЧАО «ТРАНСФОРВАРДИНГ ЛИМИТЕД АГ»</v>
      </c>
      <c r="AA76" t="str">
        <f ca="1">IFERROR(__xludf.DUMMYFUNCTION("""COMPUTED_VALUE"""),"11-276")</f>
        <v>11-276</v>
      </c>
      <c r="AB76" t="str">
        <f ca="1">IFERROR(__xludf.DUMMYFUNCTION("""COMPUTED_VALUE"""),"43 ЮЖН")</f>
        <v>43 ЮЖН</v>
      </c>
      <c r="AC76" t="str">
        <f ca="1">IFERROR(__xludf.DUMMYFUNCTION("""COMPUTED_VALUE"""),"43000 КУПЯНСК-СОРТ")</f>
        <v>43000 КУПЯНСК-СОРТ</v>
      </c>
      <c r="AD76" t="str">
        <f ca="1">IFERROR(__xludf.DUMMYFUNCTION("""COMPUTED_VALUE"""),"28.04.21 22-51")</f>
        <v>28.04.21 22-51</v>
      </c>
      <c r="AE76" t="str">
        <f ca="1">IFERROR(__xludf.DUMMYFUNCTION("""COMPUTED_VALUE"""),"571 ИCТEК КAЛЕНДАРНЫЙ CPOК КAПИТAЛЬНОГО PEМOНТA")</f>
        <v>571 ИCТEК КAЛЕНДАРНЫЙ CPOК КAПИТAЛЬНОГО PEМOНТA</v>
      </c>
      <c r="AF76" t="str">
        <f ca="1">IFERROR(__xludf.DUMMYFUNCTION("""COMPUTED_VALUE"""),"43 ЮЖН")</f>
        <v>43 ЮЖН</v>
      </c>
      <c r="AG76" t="str">
        <f ca="1">IFERROR(__xludf.DUMMYFUNCTION("""COMPUTED_VALUE"""),"43000 КУПЯНСК-СОРТ")</f>
        <v>43000 КУПЯНСК-СОРТ</v>
      </c>
      <c r="AH76" t="str">
        <f ca="1">IFERROR(__xludf.DUMMYFUNCTION("""COMPUTED_VALUE"""),"18.05.21 10-00")</f>
        <v>18.05.21 10-00</v>
      </c>
      <c r="AI76" s="21">
        <f ca="1">IFERROR(__xludf.DUMMYFUNCTION("""COMPUTED_VALUE"""),44420.3576504629)</f>
        <v>44420.357650462902</v>
      </c>
    </row>
    <row r="77" spans="1:35" ht="13" x14ac:dyDescent="0.15">
      <c r="A77">
        <f ca="1">IFERROR(__xludf.DUMMYFUNCTION("""COMPUTED_VALUE"""),156)</f>
        <v>156</v>
      </c>
      <c r="B77" t="str">
        <f ca="1">IFERROR(__xludf.DUMMYFUNCTION("""COMPUTED_VALUE"""),"ТЛГ")</f>
        <v>ТЛГ</v>
      </c>
      <c r="C77" t="str">
        <f ca="1">IFERROR(__xludf.DUMMYFUNCTION("""COMPUTED_VALUE"""),"ООО ""Укррос-Транс""")</f>
        <v>ООО "Укррос-Транс"</v>
      </c>
      <c r="D77">
        <f ca="1">IFERROR(__xludf.DUMMYFUNCTION("""COMPUTED_VALUE"""),52412434)</f>
        <v>52412434</v>
      </c>
      <c r="E77" t="str">
        <f ca="1">IFERROR(__xludf.DUMMYFUNCTION("""COMPUTED_VALUE"""),"20 КРЫТЫЕ")</f>
        <v>20 КРЫТЫЕ</v>
      </c>
      <c r="F77">
        <f ca="1">IFERROR(__xludf.DUMMYFUNCTION("""COMPUTED_VALUE"""),42116)</f>
        <v>42116</v>
      </c>
      <c r="G77" t="str">
        <f ca="1">IFERROR(__xludf.DUMMYFUNCTION("""COMPUTED_VALUE"""),"ВАГОН ДЛЯ ПРОВО")</f>
        <v>ВАГОН ДЛЯ ПРОВО</v>
      </c>
      <c r="H77">
        <f ca="1">IFERROR(__xludf.DUMMYFUNCTION("""COMPUTED_VALUE"""),1)</f>
        <v>1</v>
      </c>
      <c r="I77">
        <f ca="1">IFERROR(__xludf.DUMMYFUNCTION("""COMPUTED_VALUE"""),2766)</f>
        <v>2766</v>
      </c>
      <c r="J77" t="str">
        <f ca="1">IFERROR(__xludf.DUMMYFUNCTION("""COMPUTED_VALUE"""),"3001 (46000-070-46660) ЗАПОРОЖ-ЛЕВ - АПОСТОЛОВО")</f>
        <v>3001 (46000-070-46660) ЗАПОРОЖ-ЛЕВ - АПОСТОЛОВО</v>
      </c>
      <c r="K77">
        <f ca="1">IFERROR(__xludf.DUMMYFUNCTION("""COMPUTED_VALUE"""),46000)</f>
        <v>46000</v>
      </c>
      <c r="L77" t="str">
        <f ca="1">IFERROR(__xludf.DUMMYFUNCTION("""COMPUTED_VALUE"""),"ЗАПОРОЖ-ЛЕВ")</f>
        <v>ЗАПОРОЖ-ЛЕВ</v>
      </c>
      <c r="M77" t="str">
        <f ca="1">IFERROR(__xludf.DUMMYFUNCTION("""COMPUTED_VALUE"""),"12.08.21 04-59")</f>
        <v>12.08.21 04-59</v>
      </c>
      <c r="N77" t="str">
        <f ca="1">IFERROR(__xludf.DUMMYFUNCTION("""COMPUTED_VALUE"""),"05 ФОРМ")</f>
        <v>05 ФОРМ</v>
      </c>
      <c r="O77">
        <f ca="1">IFERROR(__xludf.DUMMYFUNCTION("""COMPUTED_VALUE"""),46710)</f>
        <v>46710</v>
      </c>
      <c r="P77" t="str">
        <f ca="1">IFERROR(__xludf.DUMMYFUNCTION("""COMPUTED_VALUE"""),"КРИВ.РОГ-СОР")</f>
        <v>КРИВ.РОГ-СОР</v>
      </c>
      <c r="Q77">
        <f ca="1">IFERROR(__xludf.DUMMYFUNCTION("""COMPUTED_VALUE"""),46000)</f>
        <v>46000</v>
      </c>
      <c r="R77" t="str">
        <f ca="1">IFERROR(__xludf.DUMMYFUNCTION("""COMPUTED_VALUE"""),"ЗАПОРОЖ-ЛЕВ")</f>
        <v>ЗАПОРОЖ-ЛЕВ</v>
      </c>
      <c r="S77" t="str">
        <f ca="1">IFERROR(__xludf.DUMMYFUNCTION("""COMPUTED_VALUE"""),"11.08.21 21-19")</f>
        <v>11.08.21 21-19</v>
      </c>
      <c r="T77">
        <f ca="1">IFERROR(__xludf.DUMMYFUNCTION("""COMPUTED_VALUE"""),3209)</f>
        <v>3209</v>
      </c>
      <c r="U77" t="str">
        <f ca="1">IFERROR(__xludf.DUMMYFUNCTION("""COMPUTED_VALUE"""),"23.01.2022 ТР-1")</f>
        <v>23.01.2022 ТР-1</v>
      </c>
      <c r="Z77" t="str">
        <f ca="1">IFERROR(__xludf.DUMMYFUNCTION("""COMPUTED_VALUE"""),"ООО ""Укррос-Транс""")</f>
        <v>ООО "Укррос-Транс"</v>
      </c>
      <c r="AA77" t="str">
        <f ca="1">IFERROR(__xludf.DUMMYFUNCTION("""COMPUTED_VALUE"""),"11-066-05")</f>
        <v>11-066-05</v>
      </c>
      <c r="AB77" t="str">
        <f ca="1">IFERROR(__xludf.DUMMYFUNCTION("""COMPUTED_VALUE"""),"45 ПРИДН")</f>
        <v>45 ПРИДН</v>
      </c>
      <c r="AC77" t="str">
        <f ca="1">IFERROR(__xludf.DUMMYFUNCTION("""COMPUTED_VALUE"""),"45000 НИЖНЕДН-УЗЕЛ")</f>
        <v>45000 НИЖНЕДН-УЗЕЛ</v>
      </c>
      <c r="AD77" t="str">
        <f ca="1">IFERROR(__xludf.DUMMYFUNCTION("""COMPUTED_VALUE"""),"01.02.21 09-05")</f>
        <v>01.02.21 09-05</v>
      </c>
      <c r="AE77" t="str">
        <f ca="1">IFERROR(__xludf.DUMMYFUNCTION("""COMPUTED_VALUE"""),"455")</f>
        <v>455</v>
      </c>
      <c r="AF77" t="str">
        <f ca="1">IFERROR(__xludf.DUMMYFUNCTION("""COMPUTED_VALUE"""),"45 ПРИДН")</f>
        <v>45 ПРИДН</v>
      </c>
      <c r="AG77" t="str">
        <f ca="1">IFERROR(__xludf.DUMMYFUNCTION("""COMPUTED_VALUE"""),"45000 НИЖНЕДН-УЗЕЛ")</f>
        <v>45000 НИЖНЕДН-УЗЕЛ</v>
      </c>
      <c r="AH77" t="str">
        <f ca="1">IFERROR(__xludf.DUMMYFUNCTION("""COMPUTED_VALUE"""),"28.02.21 12-00")</f>
        <v>28.02.21 12-00</v>
      </c>
      <c r="AI77" s="21">
        <f ca="1">IFERROR(__xludf.DUMMYFUNCTION("""COMPUTED_VALUE"""),44420.3576504629)</f>
        <v>44420.357650462902</v>
      </c>
    </row>
    <row r="78" spans="1:35" ht="13" x14ac:dyDescent="0.15">
      <c r="A78">
        <f ca="1">IFERROR(__xludf.DUMMYFUNCTION("""COMPUTED_VALUE"""),157)</f>
        <v>157</v>
      </c>
      <c r="B78" t="str">
        <f ca="1">IFERROR(__xludf.DUMMYFUNCTION("""COMPUTED_VALUE"""),"Альта Виста")</f>
        <v>Альта Виста</v>
      </c>
      <c r="C78" t="str">
        <f ca="1">IFERROR(__xludf.DUMMYFUNCTION("""COMPUTED_VALUE"""),"ООО ""Укррос-Транс""")</f>
        <v>ООО "Укррос-Транс"</v>
      </c>
      <c r="D78">
        <f ca="1">IFERROR(__xludf.DUMMYFUNCTION("""COMPUTED_VALUE"""),52414570)</f>
        <v>52414570</v>
      </c>
      <c r="E78" t="str">
        <f ca="1">IFERROR(__xludf.DUMMYFUNCTION("""COMPUTED_VALUE"""),"20 КРЫТЫЕ")</f>
        <v>20 КРЫТЫЕ</v>
      </c>
      <c r="F78">
        <f ca="1">IFERROR(__xludf.DUMMYFUNCTION("""COMPUTED_VALUE"""),42103)</f>
        <v>42103</v>
      </c>
      <c r="G78" t="str">
        <f ca="1">IFERROR(__xludf.DUMMYFUNCTION("""COMPUTED_VALUE"""),"ВАГОНЫ ЖД СВ")</f>
        <v>ВАГОНЫ ЖД СВ</v>
      </c>
      <c r="H78">
        <f ca="1">IFERROR(__xludf.DUMMYFUNCTION("""COMPUTED_VALUE"""),0)</f>
        <v>0</v>
      </c>
      <c r="I78">
        <f ca="1">IFERROR(__xludf.DUMMYFUNCTION("""COMPUTED_VALUE"""),4714)</f>
        <v>4714</v>
      </c>
      <c r="J78" t="str">
        <f ca="1">IFERROR(__xludf.DUMMYFUNCTION("""COMPUTED_VALUE"""),"3503 (49000-168-49450) ЛИМАН - КУРДЮМОВКА")</f>
        <v>3503 (49000-168-49450) ЛИМАН - КУРДЮМОВКА</v>
      </c>
      <c r="K78">
        <f ca="1">IFERROR(__xludf.DUMMYFUNCTION("""COMPUTED_VALUE"""),49480)</f>
        <v>49480</v>
      </c>
      <c r="L78" t="str">
        <f ca="1">IFERROR(__xludf.DUMMYFUNCTION("""COMPUTED_VALUE"""),"СОЛЬ")</f>
        <v>СОЛЬ</v>
      </c>
      <c r="M78" t="str">
        <f ca="1">IFERROR(__xludf.DUMMYFUNCTION("""COMPUTED_VALUE"""),"05.08.21 00-40")</f>
        <v>05.08.21 00-40</v>
      </c>
      <c r="N78" t="str">
        <f ca="1">IFERROR(__xludf.DUMMYFUNCTION("""COMPUTED_VALUE"""),"98 ОТОТ")</f>
        <v>98 ОТОТ</v>
      </c>
      <c r="O78">
        <f ca="1">IFERROR(__xludf.DUMMYFUNCTION("""COMPUTED_VALUE"""),49480)</f>
        <v>49480</v>
      </c>
      <c r="P78" t="str">
        <f ca="1">IFERROR(__xludf.DUMMYFUNCTION("""COMPUTED_VALUE"""),"СОЛЬ")</f>
        <v>СОЛЬ</v>
      </c>
      <c r="Q78">
        <f ca="1">IFERROR(__xludf.DUMMYFUNCTION("""COMPUTED_VALUE"""),49480)</f>
        <v>49480</v>
      </c>
      <c r="R78" t="str">
        <f ca="1">IFERROR(__xludf.DUMMYFUNCTION("""COMPUTED_VALUE"""),"СОЛЬ")</f>
        <v>СОЛЬ</v>
      </c>
      <c r="S78" t="str">
        <f ca="1">IFERROR(__xludf.DUMMYFUNCTION("""COMPUTED_VALUE"""),"04.08.21 15-25")</f>
        <v>04.08.21 15-25</v>
      </c>
      <c r="T78">
        <f ca="1">IFERROR(__xludf.DUMMYFUNCTION("""COMPUTED_VALUE"""),4714)</f>
        <v>4714</v>
      </c>
      <c r="U78" t="str">
        <f ca="1">IFERROR(__xludf.DUMMYFUNCTION("""COMPUTED_VALUE"""),"23.01.2022 ТР-1")</f>
        <v>23.01.2022 ТР-1</v>
      </c>
      <c r="Z78" t="str">
        <f ca="1">IFERROR(__xludf.DUMMYFUNCTION("""COMPUTED_VALUE"""),"ООО ""Укррос-Транс""")</f>
        <v>ООО "Укррос-Транс"</v>
      </c>
      <c r="AA78" t="str">
        <f ca="1">IFERROR(__xludf.DUMMYFUNCTION("""COMPUTED_VALUE"""),"11-066-04")</f>
        <v>11-066-04</v>
      </c>
      <c r="AB78" t="str">
        <f ca="1">IFERROR(__xludf.DUMMYFUNCTION("""COMPUTED_VALUE"""),"48 ДОН")</f>
        <v>48 ДОН</v>
      </c>
      <c r="AC78" t="str">
        <f ca="1">IFERROR(__xludf.DUMMYFUNCTION("""COMPUTED_VALUE"""),"49480 СОЛЬ")</f>
        <v>49480 СОЛЬ</v>
      </c>
      <c r="AD78" t="str">
        <f ca="1">IFERROR(__xludf.DUMMYFUNCTION("""COMPUTED_VALUE"""),"18.05.21 22-00")</f>
        <v>18.05.21 22-00</v>
      </c>
      <c r="AE78" t="str">
        <f ca="1">IFERROR(__xludf.DUMMYFUNCTION("""COMPUTED_VALUE"""),"563")</f>
        <v>563</v>
      </c>
      <c r="AF78" t="str">
        <f ca="1">IFERROR(__xludf.DUMMYFUNCTION("""COMPUTED_VALUE"""),"48 ДОН")</f>
        <v>48 ДОН</v>
      </c>
      <c r="AG78" t="str">
        <f ca="1">IFERROR(__xludf.DUMMYFUNCTION("""COMPUTED_VALUE"""),"49480 СОЛЬ")</f>
        <v>49480 СОЛЬ</v>
      </c>
      <c r="AH78" t="str">
        <f ca="1">IFERROR(__xludf.DUMMYFUNCTION("""COMPUTED_VALUE"""),"20.05.21 13-00")</f>
        <v>20.05.21 13-00</v>
      </c>
      <c r="AI78" s="21">
        <f ca="1">IFERROR(__xludf.DUMMYFUNCTION("""COMPUTED_VALUE"""),44420.3576504629)</f>
        <v>44420.357650462902</v>
      </c>
    </row>
    <row r="79" spans="1:35" ht="13" x14ac:dyDescent="0.15">
      <c r="A79">
        <f ca="1">IFERROR(__xludf.DUMMYFUNCTION("""COMPUTED_VALUE"""),158)</f>
        <v>158</v>
      </c>
      <c r="B79" t="str">
        <f ca="1">IFERROR(__xludf.DUMMYFUNCTION("""COMPUTED_VALUE"""),"Кнауф")</f>
        <v>Кнауф</v>
      </c>
      <c r="C79" t="str">
        <f ca="1">IFERROR(__xludf.DUMMYFUNCTION("""COMPUTED_VALUE"""),"Трансфорвардинг")</f>
        <v>Трансфорвардинг</v>
      </c>
      <c r="D79">
        <f ca="1">IFERROR(__xludf.DUMMYFUNCTION("""COMPUTED_VALUE"""),52427937)</f>
        <v>52427937</v>
      </c>
      <c r="E79" t="str">
        <f ca="1">IFERROR(__xludf.DUMMYFUNCTION("""COMPUTED_VALUE"""),"20 КРЫТЫЕ")</f>
        <v>20 КРЫТЫЕ</v>
      </c>
      <c r="F79">
        <f ca="1">IFERROR(__xludf.DUMMYFUNCTION("""COMPUTED_VALUE"""),42103)</f>
        <v>42103</v>
      </c>
      <c r="G79" t="str">
        <f ca="1">IFERROR(__xludf.DUMMYFUNCTION("""COMPUTED_VALUE"""),"ВАГОНЫ ЖД СВ")</f>
        <v>ВАГОНЫ ЖД СВ</v>
      </c>
      <c r="H79">
        <f ca="1">IFERROR(__xludf.DUMMYFUNCTION("""COMPUTED_VALUE"""),0)</f>
        <v>0</v>
      </c>
      <c r="I79">
        <f ca="1">IFERROR(__xludf.DUMMYFUNCTION("""COMPUTED_VALUE"""),4149)</f>
        <v>4149</v>
      </c>
      <c r="J79" t="str">
        <f ca="1">IFERROR(__xludf.DUMMYFUNCTION("""COMPUTED_VALUE"""),"3802 (49640-064-49620)  - ДЕКОНСКАЯ")</f>
        <v>3802 (49640-064-49620)  - ДЕКОНСКАЯ</v>
      </c>
      <c r="K79">
        <f ca="1">IFERROR(__xludf.DUMMYFUNCTION("""COMPUTED_VALUE"""),49620)</f>
        <v>49620</v>
      </c>
      <c r="L79" t="str">
        <f ca="1">IFERROR(__xludf.DUMMYFUNCTION("""COMPUTED_VALUE"""),"ДЕКОНСКАЯ")</f>
        <v>ДЕКОНСКАЯ</v>
      </c>
      <c r="M79" t="str">
        <f ca="1">IFERROR(__xludf.DUMMYFUNCTION("""COMPUTED_VALUE"""),"08.08.21 11-00")</f>
        <v>08.08.21 11-00</v>
      </c>
      <c r="N79" t="str">
        <f ca="1">IFERROR(__xludf.DUMMYFUNCTION("""COMPUTED_VALUE"""),"98 ОТОТ")</f>
        <v>98 ОТОТ</v>
      </c>
      <c r="O79">
        <f ca="1">IFERROR(__xludf.DUMMYFUNCTION("""COMPUTED_VALUE"""),49620)</f>
        <v>49620</v>
      </c>
      <c r="P79" t="str">
        <f ca="1">IFERROR(__xludf.DUMMYFUNCTION("""COMPUTED_VALUE"""),"ДЕКОНСКАЯ")</f>
        <v>ДЕКОНСКАЯ</v>
      </c>
      <c r="Q79">
        <f ca="1">IFERROR(__xludf.DUMMYFUNCTION("""COMPUTED_VALUE"""),44050)</f>
        <v>44050</v>
      </c>
      <c r="R79" t="str">
        <f ca="1">IFERROR(__xludf.DUMMYFUNCTION("""COMPUTED_VALUE"""),"ХАРЬКОВ-БАЛ")</f>
        <v>ХАРЬКОВ-БАЛ</v>
      </c>
      <c r="S79" t="str">
        <f ca="1">IFERROR(__xludf.DUMMYFUNCTION("""COMPUTED_VALUE"""),"04.08.21 13-00")</f>
        <v>04.08.21 13-00</v>
      </c>
      <c r="T79">
        <f ca="1">IFERROR(__xludf.DUMMYFUNCTION("""COMPUTED_VALUE"""),1494)</f>
        <v>1494</v>
      </c>
      <c r="U79" t="str">
        <f ca="1">IFERROR(__xludf.DUMMYFUNCTION("""COMPUTED_VALUE"""),"11.04.2022 ДР")</f>
        <v>11.04.2022 ДР</v>
      </c>
      <c r="Z79" t="str">
        <f ca="1">IFERROR(__xludf.DUMMYFUNCTION("""COMPUTED_VALUE"""),"ЧАО «ТРАНСФОРВАРДИНГ ЛИМИТЕД АГ»")</f>
        <v>ЧАО «ТРАНСФОРВАРДИНГ ЛИМИТЕД АГ»</v>
      </c>
      <c r="AA79" t="str">
        <f ca="1">IFERROR(__xludf.DUMMYFUNCTION("""COMPUTED_VALUE"""),"11-270")</f>
        <v>11-270</v>
      </c>
      <c r="AB79" t="str">
        <f ca="1">IFERROR(__xludf.DUMMYFUNCTION("""COMPUTED_VALUE"""),"48 ДОН")</f>
        <v>48 ДОН</v>
      </c>
      <c r="AC79" t="str">
        <f ca="1">IFERROR(__xludf.DUMMYFUNCTION("""COMPUTED_VALUE"""),"49480 СОЛЬ")</f>
        <v>49480 СОЛЬ</v>
      </c>
      <c r="AD79" t="str">
        <f ca="1">IFERROR(__xludf.DUMMYFUNCTION("""COMPUTED_VALUE"""),"31.05.21 11-00")</f>
        <v>31.05.21 11-00</v>
      </c>
      <c r="AE79" t="str">
        <f ca="1">IFERROR(__xludf.DUMMYFUNCTION("""COMPUTED_VALUE"""),"563")</f>
        <v>563</v>
      </c>
      <c r="AF79" t="str">
        <f ca="1">IFERROR(__xludf.DUMMYFUNCTION("""COMPUTED_VALUE"""),"48 ДОН")</f>
        <v>48 ДОН</v>
      </c>
      <c r="AG79" t="str">
        <f ca="1">IFERROR(__xludf.DUMMYFUNCTION("""COMPUTED_VALUE"""),"49480 СОЛЬ")</f>
        <v>49480 СОЛЬ</v>
      </c>
      <c r="AH79" t="str">
        <f ca="1">IFERROR(__xludf.DUMMYFUNCTION("""COMPUTED_VALUE"""),"01.06.21 16-30")</f>
        <v>01.06.21 16-30</v>
      </c>
      <c r="AI79" s="21">
        <f ca="1">IFERROR(__xludf.DUMMYFUNCTION("""COMPUTED_VALUE"""),44420.3576504629)</f>
        <v>44420.357650462902</v>
      </c>
    </row>
    <row r="80" spans="1:35" ht="13" x14ac:dyDescent="0.15">
      <c r="A80">
        <f ca="1">IFERROR(__xludf.DUMMYFUNCTION("""COMPUTED_VALUE"""),159)</f>
        <v>159</v>
      </c>
      <c r="B80" t="str">
        <f ca="1">IFERROR(__xludf.DUMMYFUNCTION("""COMPUTED_VALUE"""),"Кнауф")</f>
        <v>Кнауф</v>
      </c>
      <c r="C80" t="str">
        <f ca="1">IFERROR(__xludf.DUMMYFUNCTION("""COMPUTED_VALUE"""),"Трансфорвардинг")</f>
        <v>Трансфорвардинг</v>
      </c>
      <c r="D80">
        <f ca="1">IFERROR(__xludf.DUMMYFUNCTION("""COMPUTED_VALUE"""),52456654)</f>
        <v>52456654</v>
      </c>
      <c r="E80" t="str">
        <f ca="1">IFERROR(__xludf.DUMMYFUNCTION("""COMPUTED_VALUE"""),"20 КРЫТЫЕ")</f>
        <v>20 КРЫТЫЕ</v>
      </c>
      <c r="F80">
        <f ca="1">IFERROR(__xludf.DUMMYFUNCTION("""COMPUTED_VALUE"""),23304)</f>
        <v>23304</v>
      </c>
      <c r="G80" t="str">
        <f ca="1">IFERROR(__xludf.DUMMYFUNCTION("""COMPUTED_VALUE"""),"ГИПС ПР")</f>
        <v>ГИПС ПР</v>
      </c>
      <c r="H80">
        <f ca="1">IFERROR(__xludf.DUMMYFUNCTION("""COMPUTED_VALUE"""),66)</f>
        <v>66</v>
      </c>
      <c r="I80">
        <f ca="1">IFERROR(__xludf.DUMMYFUNCTION("""COMPUTED_VALUE"""),4014)</f>
        <v>4014</v>
      </c>
      <c r="J80" t="str">
        <f ca="1">IFERROR(__xludf.DUMMYFUNCTION("""COMPUTED_VALUE"""),"2001 (33000-435-36000) ЖМЕРИНКА - ТЕРНОПОЛЬ")</f>
        <v>2001 (33000-435-36000) ЖМЕРИНКА - ТЕРНОПОЛЬ</v>
      </c>
      <c r="K80">
        <f ca="1">IFERROR(__xludf.DUMMYFUNCTION("""COMPUTED_VALUE"""),33000)</f>
        <v>33000</v>
      </c>
      <c r="L80" t="str">
        <f ca="1">IFERROR(__xludf.DUMMYFUNCTION("""COMPUTED_VALUE"""),"ЖМЕРИНКА")</f>
        <v>ЖМЕРИНКА</v>
      </c>
      <c r="M80" t="str">
        <f ca="1">IFERROR(__xludf.DUMMYFUNCTION("""COMPUTED_VALUE"""),"12.08.21 01-25")</f>
        <v>12.08.21 01-25</v>
      </c>
      <c r="N80" t="str">
        <f ca="1">IFERROR(__xludf.DUMMYFUNCTION("""COMPUTED_VALUE"""),"05 ФОРМ")</f>
        <v>05 ФОРМ</v>
      </c>
      <c r="O80">
        <f ca="1">IFERROR(__xludf.DUMMYFUNCTION("""COMPUTED_VALUE"""),36000)</f>
        <v>36000</v>
      </c>
      <c r="P80" t="str">
        <f ca="1">IFERROR(__xludf.DUMMYFUNCTION("""COMPUTED_VALUE"""),"ТЕРНОПОЛЬ")</f>
        <v>ТЕРНОПОЛЬ</v>
      </c>
      <c r="Q80">
        <f ca="1">IFERROR(__xludf.DUMMYFUNCTION("""COMPUTED_VALUE"""),49620)</f>
        <v>49620</v>
      </c>
      <c r="R80" t="str">
        <f ca="1">IFERROR(__xludf.DUMMYFUNCTION("""COMPUTED_VALUE"""),"ДЕКОНСКАЯ")</f>
        <v>ДЕКОНСКАЯ</v>
      </c>
      <c r="S80" t="str">
        <f ca="1">IFERROR(__xludf.DUMMYFUNCTION("""COMPUTED_VALUE"""),"04.08.21 11-30")</f>
        <v>04.08.21 11-30</v>
      </c>
      <c r="T80">
        <f ca="1">IFERROR(__xludf.DUMMYFUNCTION("""COMPUTED_VALUE"""),4149)</f>
        <v>4149</v>
      </c>
      <c r="U80" t="str">
        <f ca="1">IFERROR(__xludf.DUMMYFUNCTION("""COMPUTED_VALUE"""),"29.01.2023 ДР")</f>
        <v>29.01.2023 ДР</v>
      </c>
      <c r="Z80" t="str">
        <f ca="1">IFERROR(__xludf.DUMMYFUNCTION("""COMPUTED_VALUE"""),"ЧАО «ТРАНСФОРВАРДИНГ ЛИМИТЕД АГ»")</f>
        <v>ЧАО «ТРАНСФОРВАРДИНГ ЛИМИТЕД АГ»</v>
      </c>
      <c r="AA80" t="str">
        <f ca="1">IFERROR(__xludf.DUMMYFUNCTION("""COMPUTED_VALUE"""),"11-217")</f>
        <v>11-217</v>
      </c>
      <c r="AB80" t="str">
        <f ca="1">IFERROR(__xludf.DUMMYFUNCTION("""COMPUTED_VALUE"""),"43 ЮЖН")</f>
        <v>43 ЮЖН</v>
      </c>
      <c r="AC80" t="str">
        <f ca="1">IFERROR(__xludf.DUMMYFUNCTION("""COMPUTED_VALUE"""),"43000 КУПЯНСК-СОРТ")</f>
        <v>43000 КУПЯНСК-СОРТ</v>
      </c>
      <c r="AD80" t="str">
        <f ca="1">IFERROR(__xludf.DUMMYFUNCTION("""COMPUTED_VALUE"""),"02.01.20 20-01")</f>
        <v>02.01.20 20-01</v>
      </c>
      <c r="AE80" t="str">
        <f ca="1">IFERROR(__xludf.DUMMYFUNCTION("""COMPUTED_VALUE"""),"570 ИCТEК КAЛЕНДАРНЫЙ CPOК ДEПOВCКОГО PEМOНТA")</f>
        <v>570 ИCТEК КAЛЕНДАРНЫЙ CPOК ДEПOВCКОГО PEМOНТA</v>
      </c>
      <c r="AF80" t="str">
        <f ca="1">IFERROR(__xludf.DUMMYFUNCTION("""COMPUTED_VALUE"""),"43 ЮЖН")</f>
        <v>43 ЮЖН</v>
      </c>
      <c r="AG80" t="str">
        <f ca="1">IFERROR(__xludf.DUMMYFUNCTION("""COMPUTED_VALUE"""),"43000 КУПЯНСК-СОРТ")</f>
        <v>43000 КУПЯНСК-СОРТ</v>
      </c>
      <c r="AH80" t="str">
        <f ca="1">IFERROR(__xludf.DUMMYFUNCTION("""COMPUTED_VALUE"""),"29.01.20 12-30")</f>
        <v>29.01.20 12-30</v>
      </c>
      <c r="AI80" s="21">
        <f ca="1">IFERROR(__xludf.DUMMYFUNCTION("""COMPUTED_VALUE"""),44420.3576504629)</f>
        <v>44420.357650462902</v>
      </c>
    </row>
    <row r="81" spans="1:35" ht="13" x14ac:dyDescent="0.15">
      <c r="A81">
        <f ca="1">IFERROR(__xludf.DUMMYFUNCTION("""COMPUTED_VALUE"""),198)</f>
        <v>198</v>
      </c>
      <c r="B81" t="str">
        <f ca="1">IFERROR(__xludf.DUMMYFUNCTION("""COMPUTED_VALUE"""),"Кнауф")</f>
        <v>Кнауф</v>
      </c>
      <c r="C81" t="str">
        <f ca="1">IFERROR(__xludf.DUMMYFUNCTION("""COMPUTED_VALUE"""),"Трансфорвардинг")</f>
        <v>Трансфорвардинг</v>
      </c>
      <c r="D81">
        <f ca="1">IFERROR(__xludf.DUMMYFUNCTION("""COMPUTED_VALUE"""),52456704)</f>
        <v>52456704</v>
      </c>
      <c r="E81" t="str">
        <f ca="1">IFERROR(__xludf.DUMMYFUNCTION("""COMPUTED_VALUE"""),"20 КРЫТЫЕ")</f>
        <v>20 КРЫТЫЕ</v>
      </c>
      <c r="F81">
        <f ca="1">IFERROR(__xludf.DUMMYFUNCTION("""COMPUTED_VALUE"""),42103)</f>
        <v>42103</v>
      </c>
      <c r="G81" t="str">
        <f ca="1">IFERROR(__xludf.DUMMYFUNCTION("""COMPUTED_VALUE"""),"ВАГОНЫ ЖД СВ")</f>
        <v>ВАГОНЫ ЖД СВ</v>
      </c>
      <c r="H81">
        <f ca="1">IFERROR(__xludf.DUMMYFUNCTION("""COMPUTED_VALUE"""),0)</f>
        <v>0</v>
      </c>
      <c r="I81">
        <f ca="1">IFERROR(__xludf.DUMMYFUNCTION("""COMPUTED_VALUE"""),4149)</f>
        <v>4149</v>
      </c>
      <c r="J81" t="str">
        <f ca="1">IFERROR(__xludf.DUMMYFUNCTION("""COMPUTED_VALUE"""),"2709 (32000-427-44020) ДАРНИЦА - ОСНОВА")</f>
        <v>2709 (32000-427-44020) ДАРНИЦА - ОСНОВА</v>
      </c>
      <c r="K81">
        <f ca="1">IFERROR(__xludf.DUMMYFUNCTION("""COMPUTED_VALUE"""),44020)</f>
        <v>44020</v>
      </c>
      <c r="L81" t="str">
        <f ca="1">IFERROR(__xludf.DUMMYFUNCTION("""COMPUTED_VALUE"""),"ОСНОВА")</f>
        <v>ОСНОВА</v>
      </c>
      <c r="M81" t="str">
        <f ca="1">IFERROR(__xludf.DUMMYFUNCTION("""COMPUTED_VALUE"""),"10.08.21 14-10")</f>
        <v>10.08.21 14-10</v>
      </c>
      <c r="N81" t="str">
        <f ca="1">IFERROR(__xludf.DUMMYFUNCTION("""COMPUTED_VALUE"""),"98 ОТОТ")</f>
        <v>98 ОТОТ</v>
      </c>
      <c r="O81">
        <f ca="1">IFERROR(__xludf.DUMMYFUNCTION("""COMPUTED_VALUE"""),49620)</f>
        <v>49620</v>
      </c>
      <c r="P81" t="str">
        <f ca="1">IFERROR(__xludf.DUMMYFUNCTION("""COMPUTED_VALUE"""),"ДЕКОНСКАЯ")</f>
        <v>ДЕКОНСКАЯ</v>
      </c>
      <c r="Q81">
        <f ca="1">IFERROR(__xludf.DUMMYFUNCTION("""COMPUTED_VALUE"""),32060)</f>
        <v>32060</v>
      </c>
      <c r="R81" t="str">
        <f ca="1">IFERROR(__xludf.DUMMYFUNCTION("""COMPUTED_VALUE"""),"ПОЧАЙНА")</f>
        <v>ПОЧАЙНА</v>
      </c>
      <c r="S81" t="str">
        <f ca="1">IFERROR(__xludf.DUMMYFUNCTION("""COMPUTED_VALUE"""),"04.08.21 12-00")</f>
        <v>04.08.21 12-00</v>
      </c>
      <c r="T81">
        <f ca="1">IFERROR(__xludf.DUMMYFUNCTION("""COMPUTED_VALUE"""),4951)</f>
        <v>4951</v>
      </c>
      <c r="U81" t="str">
        <f ca="1">IFERROR(__xludf.DUMMYFUNCTION("""COMPUTED_VALUE"""),"22.06.2024 ДР")</f>
        <v>22.06.2024 ДР</v>
      </c>
      <c r="Z81" t="str">
        <f ca="1">IFERROR(__xludf.DUMMYFUNCTION("""COMPUTED_VALUE"""),"ЧАО «ТРАНСФОРВАРДИНГ ЛИМИТЕД АГ»")</f>
        <v>ЧАО «ТРАНСФОРВАРДИНГ ЛИМИТЕД АГ»</v>
      </c>
      <c r="AA81" t="str">
        <f ca="1">IFERROR(__xludf.DUMMYFUNCTION("""COMPUTED_VALUE"""),"11-217")</f>
        <v>11-217</v>
      </c>
      <c r="AB81" t="str">
        <f ca="1">IFERROR(__xludf.DUMMYFUNCTION("""COMPUTED_VALUE"""),"43 ЮЖН")</f>
        <v>43 ЮЖН</v>
      </c>
      <c r="AC81" t="str">
        <f ca="1">IFERROR(__xludf.DUMMYFUNCTION("""COMPUTED_VALUE"""),"44020 ОСНОВА")</f>
        <v>44020 ОСНОВА</v>
      </c>
      <c r="AD81" t="str">
        <f ca="1">IFERROR(__xludf.DUMMYFUNCTION("""COMPUTED_VALUE"""),"10.08.21 04-55")</f>
        <v>10.08.21 04-55</v>
      </c>
      <c r="AE81" t="str">
        <f ca="1">IFERROR(__xludf.DUMMYFUNCTION("""COMPUTED_VALUE"""),"537 НEИCПPAВНOCТЬ ЗAПOPA ДВEPИ")</f>
        <v>537 НEИCПPAВНOCТЬ ЗAПOPA ДВEPИ</v>
      </c>
      <c r="AF81" t="str">
        <f ca="1">IFERROR(__xludf.DUMMYFUNCTION("""COMPUTED_VALUE"""),"43 ЮЖН")</f>
        <v>43 ЮЖН</v>
      </c>
      <c r="AG81" t="str">
        <f ca="1">IFERROR(__xludf.DUMMYFUNCTION("""COMPUTED_VALUE"""),"43000 КУПЯНСК-СОРТ")</f>
        <v>43000 КУПЯНСК-СОРТ</v>
      </c>
      <c r="AH81" t="str">
        <f ca="1">IFERROR(__xludf.DUMMYFUNCTION("""COMPUTED_VALUE"""),"22.06.21 14-00")</f>
        <v>22.06.21 14-00</v>
      </c>
      <c r="AI81" s="21">
        <f ca="1">IFERROR(__xludf.DUMMYFUNCTION("""COMPUTED_VALUE"""),44420.3576504629)</f>
        <v>44420.357650462902</v>
      </c>
    </row>
    <row r="82" spans="1:35" ht="13" x14ac:dyDescent="0.15">
      <c r="A82">
        <f ca="1">IFERROR(__xludf.DUMMYFUNCTION("""COMPUTED_VALUE"""),246)</f>
        <v>246</v>
      </c>
      <c r="B82" t="str">
        <f ca="1">IFERROR(__xludf.DUMMYFUNCTION("""COMPUTED_VALUE"""),"Кнауф")</f>
        <v>Кнауф</v>
      </c>
      <c r="C82" t="str">
        <f ca="1">IFERROR(__xludf.DUMMYFUNCTION("""COMPUTED_VALUE"""),"Трансфорвардинг")</f>
        <v>Трансфорвардинг</v>
      </c>
      <c r="D82">
        <f ca="1">IFERROR(__xludf.DUMMYFUNCTION("""COMPUTED_VALUE"""),52456969)</f>
        <v>52456969</v>
      </c>
      <c r="E82" t="str">
        <f ca="1">IFERROR(__xludf.DUMMYFUNCTION("""COMPUTED_VALUE"""),"20 КРЫТЫЕ")</f>
        <v>20 КРЫТЫЕ</v>
      </c>
      <c r="F82">
        <f ca="1">IFERROR(__xludf.DUMMYFUNCTION("""COMPUTED_VALUE"""),23304)</f>
        <v>23304</v>
      </c>
      <c r="G82" t="str">
        <f ca="1">IFERROR(__xludf.DUMMYFUNCTION("""COMPUTED_VALUE"""),"ГИПС ПР")</f>
        <v>ГИПС ПР</v>
      </c>
      <c r="H82">
        <f ca="1">IFERROR(__xludf.DUMMYFUNCTION("""COMPUTED_VALUE"""),61)</f>
        <v>61</v>
      </c>
      <c r="I82">
        <f ca="1">IFERROR(__xludf.DUMMYFUNCTION("""COMPUTED_VALUE"""),3314)</f>
        <v>3314</v>
      </c>
      <c r="J82" t="str">
        <f ca="1">IFERROR(__xludf.DUMMYFUNCTION("""COMPUTED_VALUE"""),"2715 (44020-178-32000) ОСНОВА - ДАРНИЦА")</f>
        <v>2715 (44020-178-32000) ОСНОВА - ДАРНИЦА</v>
      </c>
      <c r="K82">
        <f ca="1">IFERROR(__xludf.DUMMYFUNCTION("""COMPUTED_VALUE"""),32300)</f>
        <v>32300</v>
      </c>
      <c r="L82" t="str">
        <f ca="1">IFERROR(__xludf.DUMMYFUNCTION("""COMPUTED_VALUE"""),"ЯГОТИН")</f>
        <v>ЯГОТИН</v>
      </c>
      <c r="M82" t="str">
        <f ca="1">IFERROR(__xludf.DUMMYFUNCTION("""COMPUTED_VALUE"""),"12.08.21 08-20")</f>
        <v>12.08.21 08-20</v>
      </c>
      <c r="N82" t="str">
        <f ca="1">IFERROR(__xludf.DUMMYFUNCTION("""COMPUTED_VALUE"""),"02 ОТПР")</f>
        <v>02 ОТПР</v>
      </c>
      <c r="O82">
        <f ca="1">IFERROR(__xludf.DUMMYFUNCTION("""COMPUTED_VALUE"""),32040)</f>
        <v>32040</v>
      </c>
      <c r="P82" t="str">
        <f ca="1">IFERROR(__xludf.DUMMYFUNCTION("""COMPUTED_VALUE"""),"ГРУШКИ")</f>
        <v>ГРУШКИ</v>
      </c>
      <c r="Q82">
        <f ca="1">IFERROR(__xludf.DUMMYFUNCTION("""COMPUTED_VALUE"""),49620)</f>
        <v>49620</v>
      </c>
      <c r="R82" t="str">
        <f ca="1">IFERROR(__xludf.DUMMYFUNCTION("""COMPUTED_VALUE"""),"ДЕКОНСКАЯ")</f>
        <v>ДЕКОНСКАЯ</v>
      </c>
      <c r="S82" t="str">
        <f ca="1">IFERROR(__xludf.DUMMYFUNCTION("""COMPUTED_VALUE"""),"08.08.21 07-45")</f>
        <v>08.08.21 07-45</v>
      </c>
      <c r="T82">
        <f ca="1">IFERROR(__xludf.DUMMYFUNCTION("""COMPUTED_VALUE"""),4149)</f>
        <v>4149</v>
      </c>
      <c r="U82" t="str">
        <f ca="1">IFERROR(__xludf.DUMMYFUNCTION("""COMPUTED_VALUE"""),"02.07.2024 ДР")</f>
        <v>02.07.2024 ДР</v>
      </c>
      <c r="Z82" t="str">
        <f ca="1">IFERROR(__xludf.DUMMYFUNCTION("""COMPUTED_VALUE"""),"ЧАО «ТРАНСФОРВАРДИНГ ЛИМИТЕД АГ»")</f>
        <v>ЧАО «ТРАНСФОРВАРДИНГ ЛИМИТЕД АГ»</v>
      </c>
      <c r="AA82" t="str">
        <f ca="1">IFERROR(__xludf.DUMMYFUNCTION("""COMPUTED_VALUE"""),"11-217")</f>
        <v>11-217</v>
      </c>
      <c r="AB82" t="str">
        <f ca="1">IFERROR(__xludf.DUMMYFUNCTION("""COMPUTED_VALUE"""),"32 Ю-ЗАП")</f>
        <v>32 Ю-ЗАП</v>
      </c>
      <c r="AC82" t="str">
        <f ca="1">IFERROR(__xludf.DUMMYFUNCTION("""COMPUTED_VALUE"""),"33000 ЖМЕРИНКА")</f>
        <v>33000 ЖМЕРИНКА</v>
      </c>
      <c r="AD82" t="str">
        <f ca="1">IFERROR(__xludf.DUMMYFUNCTION("""COMPUTED_VALUE"""),"28.06.21 09-38")</f>
        <v>28.06.21 09-38</v>
      </c>
      <c r="AE82" t="str">
        <f ca="1">IFERROR(__xludf.DUMMYFUNCTION("""COMPUTED_VALUE"""),"571 ИCТEК КAЛЕНДАРНЫЙ CPOК КAПИТAЛЬНОГО PEМOНТA")</f>
        <v>571 ИCТEК КAЛЕНДАРНЫЙ CPOК КAПИТAЛЬНОГО PEМOНТA</v>
      </c>
      <c r="AF82" t="str">
        <f ca="1">IFERROR(__xludf.DUMMYFUNCTION("""COMPUTED_VALUE"""),"32 Ю-ЗАП")</f>
        <v>32 Ю-ЗАП</v>
      </c>
      <c r="AG82" t="str">
        <f ca="1">IFERROR(__xludf.DUMMYFUNCTION("""COMPUTED_VALUE"""),"33000 ЖМЕРИНКА")</f>
        <v>33000 ЖМЕРИНКА</v>
      </c>
      <c r="AH82" t="str">
        <f ca="1">IFERROR(__xludf.DUMMYFUNCTION("""COMPUTED_VALUE"""),"02.07.21 16-51")</f>
        <v>02.07.21 16-51</v>
      </c>
      <c r="AI82" s="21">
        <f ca="1">IFERROR(__xludf.DUMMYFUNCTION("""COMPUTED_VALUE"""),44420.3576504629)</f>
        <v>44420.357650462902</v>
      </c>
    </row>
    <row r="83" spans="1:35" ht="13" x14ac:dyDescent="0.15">
      <c r="A83">
        <f ca="1">IFERROR(__xludf.DUMMYFUNCTION("""COMPUTED_VALUE"""),270)</f>
        <v>270</v>
      </c>
      <c r="B83" t="str">
        <f ca="1">IFERROR(__xludf.DUMMYFUNCTION("""COMPUTED_VALUE"""),"Кнауф")</f>
        <v>Кнауф</v>
      </c>
      <c r="C83" t="str">
        <f ca="1">IFERROR(__xludf.DUMMYFUNCTION("""COMPUTED_VALUE"""),"Керрилайн")</f>
        <v>Керрилайн</v>
      </c>
      <c r="D83">
        <f ca="1">IFERROR(__xludf.DUMMYFUNCTION("""COMPUTED_VALUE"""),52414687)</f>
        <v>52414687</v>
      </c>
      <c r="E83" t="str">
        <f ca="1">IFERROR(__xludf.DUMMYFUNCTION("""COMPUTED_VALUE"""),"20 КРЫТЫЕ")</f>
        <v>20 КРЫТЫЕ</v>
      </c>
      <c r="F83">
        <f ca="1">IFERROR(__xludf.DUMMYFUNCTION("""COMPUTED_VALUE"""),42119)</f>
        <v>42119</v>
      </c>
      <c r="G83" t="str">
        <f ca="1">IFERROR(__xludf.DUMMYFUNCTION("""COMPUTED_VALUE"""),"ВАГОНЫ ЖД РЕМОН")</f>
        <v>ВАГОНЫ ЖД РЕМОН</v>
      </c>
      <c r="H83">
        <f ca="1">IFERROR(__xludf.DUMMYFUNCTION("""COMPUTED_VALUE"""),0)</f>
        <v>0</v>
      </c>
      <c r="I83">
        <f ca="1">IFERROR(__xludf.DUMMYFUNCTION("""COMPUTED_VALUE"""),4149)</f>
        <v>4149</v>
      </c>
      <c r="J83" t="str">
        <f ca="1">IFERROR(__xludf.DUMMYFUNCTION("""COMPUTED_VALUE"""),"5555 (49000-776-00080) ЛИМАН -")</f>
        <v>5555 (49000-776-00080) ЛИМАН -</v>
      </c>
      <c r="K83">
        <f ca="1">IFERROR(__xludf.DUMMYFUNCTION("""COMPUTED_VALUE"""),49000)</f>
        <v>49000</v>
      </c>
      <c r="L83" t="str">
        <f ca="1">IFERROR(__xludf.DUMMYFUNCTION("""COMPUTED_VALUE"""),"ЛИМАН")</f>
        <v>ЛИМАН</v>
      </c>
      <c r="M83" t="str">
        <f ca="1">IFERROR(__xludf.DUMMYFUNCTION("""COMPUTED_VALUE"""),"12.08.21 05-13")</f>
        <v>12.08.21 05-13</v>
      </c>
      <c r="N83" t="str">
        <f ca="1">IFERROR(__xludf.DUMMYFUNCTION("""COMPUTED_VALUE"""),"04 РАСФ")</f>
        <v>04 РАСФ</v>
      </c>
      <c r="O83">
        <f ca="1">IFERROR(__xludf.DUMMYFUNCTION("""COMPUTED_VALUE"""),49620)</f>
        <v>49620</v>
      </c>
      <c r="P83" t="str">
        <f ca="1">IFERROR(__xludf.DUMMYFUNCTION("""COMPUTED_VALUE"""),"ДЕКОНСКАЯ")</f>
        <v>ДЕКОНСКАЯ</v>
      </c>
      <c r="Q83">
        <f ca="1">IFERROR(__xludf.DUMMYFUNCTION("""COMPUTED_VALUE"""),47600)</f>
        <v>47600</v>
      </c>
      <c r="R83" t="str">
        <f ca="1">IFERROR(__xludf.DUMMYFUNCTION("""COMPUTED_VALUE"""),"МЕЛИТОПОЛЬ")</f>
        <v>МЕЛИТОПОЛЬ</v>
      </c>
      <c r="S83" t="str">
        <f ca="1">IFERROR(__xludf.DUMMYFUNCTION("""COMPUTED_VALUE"""),"09.08.21 15-00")</f>
        <v>09.08.21 15-00</v>
      </c>
      <c r="T83">
        <f ca="1">IFERROR(__xludf.DUMMYFUNCTION("""COMPUTED_VALUE"""),9775)</f>
        <v>9775</v>
      </c>
      <c r="U83" t="str">
        <f ca="1">IFERROR(__xludf.DUMMYFUNCTION("""COMPUTED_VALUE"""),"09.08.2024 КР")</f>
        <v>09.08.2024 КР</v>
      </c>
      <c r="Z83" t="str">
        <f ca="1">IFERROR(__xludf.DUMMYFUNCTION("""COMPUTED_VALUE"""),"ООО «КЕРРИЛАЙН»")</f>
        <v>ООО «КЕРРИЛАЙН»</v>
      </c>
      <c r="AA83" t="str">
        <f ca="1">IFERROR(__xludf.DUMMYFUNCTION("""COMPUTED_VALUE"""),"11-270")</f>
        <v>11-270</v>
      </c>
      <c r="AB83" t="str">
        <f ca="1">IFERROR(__xludf.DUMMYFUNCTION("""COMPUTED_VALUE"""),"45 ПРИДН")</f>
        <v>45 ПРИДН</v>
      </c>
      <c r="AC83" t="str">
        <f ca="1">IFERROR(__xludf.DUMMYFUNCTION("""COMPUTED_VALUE"""),"47600 МЕЛИТОПОЛЬ")</f>
        <v>47600 МЕЛИТОПОЛЬ</v>
      </c>
      <c r="AD83" t="str">
        <f ca="1">IFERROR(__xludf.DUMMYFUNCTION("""COMPUTED_VALUE"""),"23.07.21 14-04")</f>
        <v>23.07.21 14-04</v>
      </c>
      <c r="AE83" t="str">
        <f ca="1">IFERROR(__xludf.DUMMYFUNCTION("""COMPUTED_VALUE"""),"570 ИCТEК КAЛЕНДАРНЫЙ CPOК ДEПOВCКОГО PEМOНТA")</f>
        <v>570 ИCТEК КAЛЕНДАРНЫЙ CPOК ДEПOВCКОГО PEМOНТA</v>
      </c>
      <c r="AF83" t="str">
        <f ca="1">IFERROR(__xludf.DUMMYFUNCTION("""COMPUTED_VALUE"""),"45 ПРИДН")</f>
        <v>45 ПРИДН</v>
      </c>
      <c r="AG83" t="str">
        <f ca="1">IFERROR(__xludf.DUMMYFUNCTION("""COMPUTED_VALUE"""),"47600 МЕЛИТОПОЛЬ")</f>
        <v>47600 МЕЛИТОПОЛЬ</v>
      </c>
      <c r="AH83" t="str">
        <f ca="1">IFERROR(__xludf.DUMMYFUNCTION("""COMPUTED_VALUE"""),"09.08.21 14-10")</f>
        <v>09.08.21 14-10</v>
      </c>
      <c r="AI83" s="21">
        <f ca="1">IFERROR(__xludf.DUMMYFUNCTION("""COMPUTED_VALUE"""),44420.3576504629)</f>
        <v>44420.357650462902</v>
      </c>
    </row>
    <row r="84" spans="1:35" ht="13" x14ac:dyDescent="0.15">
      <c r="A84">
        <f ca="1">IFERROR(__xludf.DUMMYFUNCTION("""COMPUTED_VALUE"""),271)</f>
        <v>271</v>
      </c>
      <c r="B84" t="str">
        <f ca="1">IFERROR(__xludf.DUMMYFUNCTION("""COMPUTED_VALUE"""),"Кнауф")</f>
        <v>Кнауф</v>
      </c>
      <c r="C84" t="str">
        <f ca="1">IFERROR(__xludf.DUMMYFUNCTION("""COMPUTED_VALUE"""),"Керрилайн")</f>
        <v>Керрилайн</v>
      </c>
      <c r="D84">
        <f ca="1">IFERROR(__xludf.DUMMYFUNCTION("""COMPUTED_VALUE"""),52414729)</f>
        <v>52414729</v>
      </c>
      <c r="E84" t="str">
        <f ca="1">IFERROR(__xludf.DUMMYFUNCTION("""COMPUTED_VALUE"""),"20 КРЫТЫЕ")</f>
        <v>20 КРЫТЫЕ</v>
      </c>
      <c r="F84">
        <f ca="1">IFERROR(__xludf.DUMMYFUNCTION("""COMPUTED_VALUE"""),42103)</f>
        <v>42103</v>
      </c>
      <c r="G84" t="str">
        <f ca="1">IFERROR(__xludf.DUMMYFUNCTION("""COMPUTED_VALUE"""),"ВАГОНЫ ЖД СВ")</f>
        <v>ВАГОНЫ ЖД СВ</v>
      </c>
      <c r="H84">
        <f ca="1">IFERROR(__xludf.DUMMYFUNCTION("""COMPUTED_VALUE"""),0)</f>
        <v>0</v>
      </c>
      <c r="I84">
        <f ca="1">IFERROR(__xludf.DUMMYFUNCTION("""COMPUTED_VALUE"""),4714)</f>
        <v>4714</v>
      </c>
      <c r="J84" t="str">
        <f ca="1">IFERROR(__xludf.DUMMYFUNCTION("""COMPUTED_VALUE"""),"3807 (49480-018-49470) СОЛЬ - ШЕВЧЕНКО")</f>
        <v>3807 (49480-018-49470) СОЛЬ - ШЕВЧЕНКО</v>
      </c>
      <c r="K84">
        <f ca="1">IFERROR(__xludf.DUMMYFUNCTION("""COMPUTED_VALUE"""),49470)</f>
        <v>49470</v>
      </c>
      <c r="L84" t="str">
        <f ca="1">IFERROR(__xludf.DUMMYFUNCTION("""COMPUTED_VALUE"""),"ШЕВЧЕНКО")</f>
        <v>ШЕВЧЕНКО</v>
      </c>
      <c r="M84" t="str">
        <f ca="1">IFERROR(__xludf.DUMMYFUNCTION("""COMPUTED_VALUE"""),"11.08.21 23-38")</f>
        <v>11.08.21 23-38</v>
      </c>
      <c r="N84" t="str">
        <f ca="1">IFERROR(__xludf.DUMMYFUNCTION("""COMPUTED_VALUE"""),"04 РАСФ")</f>
        <v>04 РАСФ</v>
      </c>
      <c r="O84">
        <f ca="1">IFERROR(__xludf.DUMMYFUNCTION("""COMPUTED_VALUE"""),49470)</f>
        <v>49470</v>
      </c>
      <c r="P84" t="str">
        <f ca="1">IFERROR(__xludf.DUMMYFUNCTION("""COMPUTED_VALUE"""),"ШЕВЧЕНКО")</f>
        <v>ШЕВЧЕНКО</v>
      </c>
      <c r="Q84">
        <f ca="1">IFERROR(__xludf.DUMMYFUNCTION("""COMPUTED_VALUE"""),49480)</f>
        <v>49480</v>
      </c>
      <c r="R84" t="str">
        <f ca="1">IFERROR(__xludf.DUMMYFUNCTION("""COMPUTED_VALUE"""),"СОЛЬ")</f>
        <v>СОЛЬ</v>
      </c>
      <c r="S84" t="str">
        <f ca="1">IFERROR(__xludf.DUMMYFUNCTION("""COMPUTED_VALUE"""),"11.08.21 15-00")</f>
        <v>11.08.21 15-00</v>
      </c>
      <c r="T84">
        <f ca="1">IFERROR(__xludf.DUMMYFUNCTION("""COMPUTED_VALUE"""),4714)</f>
        <v>4714</v>
      </c>
      <c r="U84" t="str">
        <f ca="1">IFERROR(__xludf.DUMMYFUNCTION("""COMPUTED_VALUE"""),"26.09.2021 ДР")</f>
        <v>26.09.2021 ДР</v>
      </c>
      <c r="Z84" t="str">
        <f ca="1">IFERROR(__xludf.DUMMYFUNCTION("""COMPUTED_VALUE"""),"ООО «КЕРРИЛАЙН»")</f>
        <v>ООО «КЕРРИЛАЙН»</v>
      </c>
      <c r="AA84" t="str">
        <f ca="1">IFERROR(__xludf.DUMMYFUNCTION("""COMPUTED_VALUE"""),"11-270")</f>
        <v>11-270</v>
      </c>
      <c r="AB84" t="str">
        <f ca="1">IFERROR(__xludf.DUMMYFUNCTION("""COMPUTED_VALUE"""),"43 ЮЖН")</f>
        <v>43 ЮЖН</v>
      </c>
      <c r="AC84" t="str">
        <f ca="1">IFERROR(__xludf.DUMMYFUNCTION("""COMPUTED_VALUE"""),"44020 ОСНОВА")</f>
        <v>44020 ОСНОВА</v>
      </c>
      <c r="AD84" t="str">
        <f ca="1">IFERROR(__xludf.DUMMYFUNCTION("""COMPUTED_VALUE"""),"05.10.20 13-45")</f>
        <v>05.10.20 13-45</v>
      </c>
      <c r="AE84" t="str">
        <f ca="1">IFERROR(__xludf.DUMMYFUNCTION("""COMPUTED_VALUE"""),"537 НEИCПPAВНOCТЬ ЗAПOPA ДВEPИ")</f>
        <v>537 НEИCПPAВНOCТЬ ЗAПOPA ДВEPИ</v>
      </c>
      <c r="AF84" t="str">
        <f ca="1">IFERROR(__xludf.DUMMYFUNCTION("""COMPUTED_VALUE"""),"43 ЮЖН")</f>
        <v>43 ЮЖН</v>
      </c>
      <c r="AG84" t="str">
        <f ca="1">IFERROR(__xludf.DUMMYFUNCTION("""COMPUTED_VALUE"""),"44020 ОСНОВА")</f>
        <v>44020 ОСНОВА</v>
      </c>
      <c r="AH84" t="str">
        <f ca="1">IFERROR(__xludf.DUMMYFUNCTION("""COMPUTED_VALUE"""),"07.10.20 17-00")</f>
        <v>07.10.20 17-00</v>
      </c>
      <c r="AI84" s="21">
        <f ca="1">IFERROR(__xludf.DUMMYFUNCTION("""COMPUTED_VALUE"""),44420.3576504629)</f>
        <v>44420.357650462902</v>
      </c>
    </row>
    <row r="85" spans="1:35" ht="13" x14ac:dyDescent="0.15">
      <c r="A85">
        <f ca="1">IFERROR(__xludf.DUMMYFUNCTION("""COMPUTED_VALUE"""),272)</f>
        <v>272</v>
      </c>
      <c r="B85" t="str">
        <f ca="1">IFERROR(__xludf.DUMMYFUNCTION("""COMPUTED_VALUE"""),"Загаров")</f>
        <v>Загаров</v>
      </c>
      <c r="C85" t="str">
        <f ca="1">IFERROR(__xludf.DUMMYFUNCTION("""COMPUTED_VALUE"""),"Керрилайн")</f>
        <v>Керрилайн</v>
      </c>
      <c r="D85">
        <f ca="1">IFERROR(__xludf.DUMMYFUNCTION("""COMPUTED_VALUE"""),52690187)</f>
        <v>52690187</v>
      </c>
      <c r="E85" t="str">
        <f ca="1">IFERROR(__xludf.DUMMYFUNCTION("""COMPUTED_VALUE"""),"28 КРЫТЫЕ_138")</f>
        <v>28 КРЫТЫЕ_138</v>
      </c>
      <c r="F85">
        <f ca="1">IFERROR(__xludf.DUMMYFUNCTION("""COMPUTED_VALUE"""),25123)</f>
        <v>25123</v>
      </c>
      <c r="G85" t="str">
        <f ca="1">IFERROR(__xludf.DUMMYFUNCTION("""COMPUTED_VALUE"""),"ПЛИТЫ ГИПСОВ")</f>
        <v>ПЛИТЫ ГИПСОВ</v>
      </c>
      <c r="H85">
        <f ca="1">IFERROR(__xludf.DUMMYFUNCTION("""COMPUTED_VALUE"""),62)</f>
        <v>62</v>
      </c>
      <c r="I85">
        <f ca="1">IFERROR(__xludf.DUMMYFUNCTION("""COMPUTED_VALUE"""),3314)</f>
        <v>3314</v>
      </c>
      <c r="J85" t="str">
        <f ca="1">IFERROR(__xludf.DUMMYFUNCTION("""COMPUTED_VALUE"""),"2715 (44020-178-32000) ОСНОВА - ДАРНИЦА")</f>
        <v>2715 (44020-178-32000) ОСНОВА - ДАРНИЦА</v>
      </c>
      <c r="K85">
        <f ca="1">IFERROR(__xludf.DUMMYFUNCTION("""COMPUTED_VALUE"""),32300)</f>
        <v>32300</v>
      </c>
      <c r="L85" t="str">
        <f ca="1">IFERROR(__xludf.DUMMYFUNCTION("""COMPUTED_VALUE"""),"ЯГОТИН")</f>
        <v>ЯГОТИН</v>
      </c>
      <c r="M85" t="str">
        <f ca="1">IFERROR(__xludf.DUMMYFUNCTION("""COMPUTED_VALUE"""),"12.08.21 08-20")</f>
        <v>12.08.21 08-20</v>
      </c>
      <c r="N85" t="str">
        <f ca="1">IFERROR(__xludf.DUMMYFUNCTION("""COMPUTED_VALUE"""),"02 ОТПР")</f>
        <v>02 ОТПР</v>
      </c>
      <c r="O85">
        <f ca="1">IFERROR(__xludf.DUMMYFUNCTION("""COMPUTED_VALUE"""),32040)</f>
        <v>32040</v>
      </c>
      <c r="P85" t="str">
        <f ca="1">IFERROR(__xludf.DUMMYFUNCTION("""COMPUTED_VALUE"""),"ГРУШКИ")</f>
        <v>ГРУШКИ</v>
      </c>
      <c r="Q85">
        <f ca="1">IFERROR(__xludf.DUMMYFUNCTION("""COMPUTED_VALUE"""),49620)</f>
        <v>49620</v>
      </c>
      <c r="R85" t="str">
        <f ca="1">IFERROR(__xludf.DUMMYFUNCTION("""COMPUTED_VALUE"""),"ДЕКОНСКАЯ")</f>
        <v>ДЕКОНСКАЯ</v>
      </c>
      <c r="S85" t="str">
        <f ca="1">IFERROR(__xludf.DUMMYFUNCTION("""COMPUTED_VALUE"""),"08.08.21 07-45")</f>
        <v>08.08.21 07-45</v>
      </c>
      <c r="T85">
        <f ca="1">IFERROR(__xludf.DUMMYFUNCTION("""COMPUTED_VALUE"""),4149)</f>
        <v>4149</v>
      </c>
      <c r="U85" t="str">
        <f ca="1">IFERROR(__xludf.DUMMYFUNCTION("""COMPUTED_VALUE"""),"15.09.2021 ДР")</f>
        <v>15.09.2021 ДР</v>
      </c>
      <c r="Z85" t="str">
        <f ca="1">IFERROR(__xludf.DUMMYFUNCTION("""COMPUTED_VALUE"""),"ООО «КЕРРИЛАЙН»")</f>
        <v>ООО «КЕРРИЛАЙН»</v>
      </c>
      <c r="AA85" t="str">
        <f ca="1">IFERROR(__xludf.DUMMYFUNCTION("""COMPUTED_VALUE"""),"11-286")</f>
        <v>11-286</v>
      </c>
      <c r="AB85" t="str">
        <f ca="1">IFERROR(__xludf.DUMMYFUNCTION("""COMPUTED_VALUE"""),"48 ДОН")</f>
        <v>48 ДОН</v>
      </c>
      <c r="AC85" t="str">
        <f ca="1">IFERROR(__xludf.DUMMYFUNCTION("""COMPUTED_VALUE"""),"49480 СОЛЬ")</f>
        <v>49480 СОЛЬ</v>
      </c>
      <c r="AD85" t="str">
        <f ca="1">IFERROR(__xludf.DUMMYFUNCTION("""COMPUTED_VALUE"""),"18.07.20 08-45")</f>
        <v>18.07.20 08-45</v>
      </c>
      <c r="AE85" t="str">
        <f ca="1">IFERROR(__xludf.DUMMYFUNCTION("""COMPUTED_VALUE"""),"563")</f>
        <v>563</v>
      </c>
      <c r="AF85" t="str">
        <f ca="1">IFERROR(__xludf.DUMMYFUNCTION("""COMPUTED_VALUE"""),"48 ДОН")</f>
        <v>48 ДОН</v>
      </c>
      <c r="AG85" t="str">
        <f ca="1">IFERROR(__xludf.DUMMYFUNCTION("""COMPUTED_VALUE"""),"49480 СОЛЬ")</f>
        <v>49480 СОЛЬ</v>
      </c>
      <c r="AH85" t="str">
        <f ca="1">IFERROR(__xludf.DUMMYFUNCTION("""COMPUTED_VALUE"""),"24.07.20 16-00")</f>
        <v>24.07.20 16-00</v>
      </c>
      <c r="AI85" s="21">
        <f ca="1">IFERROR(__xludf.DUMMYFUNCTION("""COMPUTED_VALUE"""),44420.3576504629)</f>
        <v>44420.357650462902</v>
      </c>
    </row>
    <row r="86" spans="1:35" ht="13" x14ac:dyDescent="0.15">
      <c r="A86">
        <f ca="1">IFERROR(__xludf.DUMMYFUNCTION("""COMPUTED_VALUE"""),273)</f>
        <v>273</v>
      </c>
      <c r="B86" t="str">
        <f ca="1">IFERROR(__xludf.DUMMYFUNCTION("""COMPUTED_VALUE"""),"Загаров")</f>
        <v>Загаров</v>
      </c>
      <c r="C86" t="str">
        <f ca="1">IFERROR(__xludf.DUMMYFUNCTION("""COMPUTED_VALUE"""),"Керрилайн")</f>
        <v>Керрилайн</v>
      </c>
      <c r="D86">
        <f ca="1">IFERROR(__xludf.DUMMYFUNCTION("""COMPUTED_VALUE"""),52690203)</f>
        <v>52690203</v>
      </c>
      <c r="E86" t="str">
        <f ca="1">IFERROR(__xludf.DUMMYFUNCTION("""COMPUTED_VALUE"""),"28 КРЫТЫЕ_138")</f>
        <v>28 КРЫТЫЕ_138</v>
      </c>
      <c r="F86">
        <f ca="1">IFERROR(__xludf.DUMMYFUNCTION("""COMPUTED_VALUE"""),42103)</f>
        <v>42103</v>
      </c>
      <c r="G86" t="str">
        <f ca="1">IFERROR(__xludf.DUMMYFUNCTION("""COMPUTED_VALUE"""),"ВАГОНЫ ЖД СВ")</f>
        <v>ВАГОНЫ ЖД СВ</v>
      </c>
      <c r="H86">
        <f ca="1">IFERROR(__xludf.DUMMYFUNCTION("""COMPUTED_VALUE"""),0)</f>
        <v>0</v>
      </c>
      <c r="I86">
        <f ca="1">IFERROR(__xludf.DUMMYFUNCTION("""COMPUTED_VALUE"""),4149)</f>
        <v>4149</v>
      </c>
      <c r="J86" t="str">
        <f ca="1">IFERROR(__xludf.DUMMYFUNCTION("""COMPUTED_VALUE"""),"2831 (44020-300-49000) ОСНОВА - ЛИМАН")</f>
        <v>2831 (44020-300-49000) ОСНОВА - ЛИМАН</v>
      </c>
      <c r="K86">
        <f ca="1">IFERROR(__xludf.DUMMYFUNCTION("""COMPUTED_VALUE"""),49005)</f>
        <v>49005</v>
      </c>
      <c r="L86" t="str">
        <f ca="1">IFERROR(__xludf.DUMMYFUNCTION("""COMPUTED_VALUE"""),"ФОРПОСТНАЯ")</f>
        <v>ФОРПОСТНАЯ</v>
      </c>
      <c r="M86" t="str">
        <f ca="1">IFERROR(__xludf.DUMMYFUNCTION("""COMPUTED_VALUE"""),"12.08.21 08-19")</f>
        <v>12.08.21 08-19</v>
      </c>
      <c r="N86" t="str">
        <f ca="1">IFERROR(__xludf.DUMMYFUNCTION("""COMPUTED_VALUE"""),"03 ПРОС")</f>
        <v>03 ПРОС</v>
      </c>
      <c r="O86">
        <f ca="1">IFERROR(__xludf.DUMMYFUNCTION("""COMPUTED_VALUE"""),49620)</f>
        <v>49620</v>
      </c>
      <c r="P86" t="str">
        <f ca="1">IFERROR(__xludf.DUMMYFUNCTION("""COMPUTED_VALUE"""),"ДЕКОНСКАЯ")</f>
        <v>ДЕКОНСКАЯ</v>
      </c>
      <c r="Q86">
        <f ca="1">IFERROR(__xludf.DUMMYFUNCTION("""COMPUTED_VALUE"""),32040)</f>
        <v>32040</v>
      </c>
      <c r="R86" t="str">
        <f ca="1">IFERROR(__xludf.DUMMYFUNCTION("""COMPUTED_VALUE"""),"ГРУШКИ")</f>
        <v>ГРУШКИ</v>
      </c>
      <c r="S86" t="str">
        <f ca="1">IFERROR(__xludf.DUMMYFUNCTION("""COMPUTED_VALUE"""),"06.08.21 08-00")</f>
        <v>06.08.21 08-00</v>
      </c>
      <c r="T86">
        <f ca="1">IFERROR(__xludf.DUMMYFUNCTION("""COMPUTED_VALUE"""),3314)</f>
        <v>3314</v>
      </c>
      <c r="U86" t="str">
        <f ca="1">IFERROR(__xludf.DUMMYFUNCTION("""COMPUTED_VALUE"""),"27.09.2021 ДР")</f>
        <v>27.09.2021 ДР</v>
      </c>
      <c r="Z86" t="str">
        <f ca="1">IFERROR(__xludf.DUMMYFUNCTION("""COMPUTED_VALUE"""),"ООО «КЕРРИЛАЙН»")</f>
        <v>ООО «КЕРРИЛАЙН»</v>
      </c>
      <c r="AA86" t="str">
        <f ca="1">IFERROR(__xludf.DUMMYFUNCTION("""COMPUTED_VALUE"""),"11-286")</f>
        <v>11-286</v>
      </c>
      <c r="AB86" t="str">
        <f ca="1">IFERROR(__xludf.DUMMYFUNCTION("""COMPUTED_VALUE"""),"48 ДОН")</f>
        <v>48 ДОН</v>
      </c>
      <c r="AC86" t="str">
        <f ca="1">IFERROR(__xludf.DUMMYFUNCTION("""COMPUTED_VALUE"""),"49000 ЛИМАН")</f>
        <v>49000 ЛИМАН</v>
      </c>
      <c r="AD86" t="str">
        <f ca="1">IFERROR(__xludf.DUMMYFUNCTION("""COMPUTED_VALUE"""),"23.12.20 18-10")</f>
        <v>23.12.20 18-10</v>
      </c>
      <c r="AE86" t="str">
        <f ca="1">IFERROR(__xludf.DUMMYFUNCTION("""COMPUTED_VALUE"""),"537 НEИCПPAВНOCТЬ ЗAПOPA ДВEPИ")</f>
        <v>537 НEИCПPAВНOCТЬ ЗAПOPA ДВEPИ</v>
      </c>
      <c r="AF86" t="str">
        <f ca="1">IFERROR(__xludf.DUMMYFUNCTION("""COMPUTED_VALUE"""),"48 ДОН")</f>
        <v>48 ДОН</v>
      </c>
      <c r="AG86" t="str">
        <f ca="1">IFERROR(__xludf.DUMMYFUNCTION("""COMPUTED_VALUE"""),"49000 ЛИМАН")</f>
        <v>49000 ЛИМАН</v>
      </c>
      <c r="AH86" t="str">
        <f ca="1">IFERROR(__xludf.DUMMYFUNCTION("""COMPUTED_VALUE"""),"24.12.20 17-00")</f>
        <v>24.12.20 17-00</v>
      </c>
      <c r="AI86" s="21">
        <f ca="1">IFERROR(__xludf.DUMMYFUNCTION("""COMPUTED_VALUE"""),44420.3576504629)</f>
        <v>44420.357650462902</v>
      </c>
    </row>
    <row r="87" spans="1:35" ht="13" x14ac:dyDescent="0.15">
      <c r="A87">
        <f ca="1">IFERROR(__xludf.DUMMYFUNCTION("""COMPUTED_VALUE"""),274)</f>
        <v>274</v>
      </c>
      <c r="B87" t="str">
        <f ca="1">IFERROR(__xludf.DUMMYFUNCTION("""COMPUTED_VALUE"""),"Кнауф")</f>
        <v>Кнауф</v>
      </c>
      <c r="C87" t="str">
        <f ca="1">IFERROR(__xludf.DUMMYFUNCTION("""COMPUTED_VALUE"""),"Керрилайн РФ")</f>
        <v>Керрилайн РФ</v>
      </c>
      <c r="D87">
        <f ca="1">IFERROR(__xludf.DUMMYFUNCTION("""COMPUTED_VALUE"""),52142866)</f>
        <v>52142866</v>
      </c>
      <c r="E87" t="str">
        <f ca="1">IFERROR(__xludf.DUMMYFUNCTION("""COMPUTED_VALUE"""),"28 КРЫТЫЕ_138")</f>
        <v>28 КРЫТЫЕ_138</v>
      </c>
      <c r="F87">
        <f ca="1">IFERROR(__xludf.DUMMYFUNCTION("""COMPUTED_VALUE"""),42103)</f>
        <v>42103</v>
      </c>
      <c r="G87" t="str">
        <f ca="1">IFERROR(__xludf.DUMMYFUNCTION("""COMPUTED_VALUE"""),"ВАГОНЫ ЖД СВ")</f>
        <v>ВАГОНЫ ЖД СВ</v>
      </c>
      <c r="H87">
        <f ca="1">IFERROR(__xludf.DUMMYFUNCTION("""COMPUTED_VALUE"""),0)</f>
        <v>0</v>
      </c>
      <c r="I87">
        <f ca="1">IFERROR(__xludf.DUMMYFUNCTION("""COMPUTED_VALUE"""),4149)</f>
        <v>4149</v>
      </c>
      <c r="J87" t="str">
        <f ca="1">IFERROR(__xludf.DUMMYFUNCTION("""COMPUTED_VALUE"""),"2831 (44020-300-49000) ОСНОВА - ЛИМАН")</f>
        <v>2831 (44020-300-49000) ОСНОВА - ЛИМАН</v>
      </c>
      <c r="K87">
        <f ca="1">IFERROR(__xludf.DUMMYFUNCTION("""COMPUTED_VALUE"""),49005)</f>
        <v>49005</v>
      </c>
      <c r="L87" t="str">
        <f ca="1">IFERROR(__xludf.DUMMYFUNCTION("""COMPUTED_VALUE"""),"ФОРПОСТНАЯ")</f>
        <v>ФОРПОСТНАЯ</v>
      </c>
      <c r="M87" t="str">
        <f ca="1">IFERROR(__xludf.DUMMYFUNCTION("""COMPUTED_VALUE"""),"12.08.21 08-19")</f>
        <v>12.08.21 08-19</v>
      </c>
      <c r="N87" t="str">
        <f ca="1">IFERROR(__xludf.DUMMYFUNCTION("""COMPUTED_VALUE"""),"03 ПРОС")</f>
        <v>03 ПРОС</v>
      </c>
      <c r="O87">
        <f ca="1">IFERROR(__xludf.DUMMYFUNCTION("""COMPUTED_VALUE"""),49620)</f>
        <v>49620</v>
      </c>
      <c r="P87" t="str">
        <f ca="1">IFERROR(__xludf.DUMMYFUNCTION("""COMPUTED_VALUE"""),"ДЕКОНСКАЯ")</f>
        <v>ДЕКОНСКАЯ</v>
      </c>
      <c r="Q87">
        <f ca="1">IFERROR(__xludf.DUMMYFUNCTION("""COMPUTED_VALUE"""),32040)</f>
        <v>32040</v>
      </c>
      <c r="R87" t="str">
        <f ca="1">IFERROR(__xludf.DUMMYFUNCTION("""COMPUTED_VALUE"""),"ГРУШКИ")</f>
        <v>ГРУШКИ</v>
      </c>
      <c r="S87" t="str">
        <f ca="1">IFERROR(__xludf.DUMMYFUNCTION("""COMPUTED_VALUE"""),"07.08.21 09-15")</f>
        <v>07.08.21 09-15</v>
      </c>
      <c r="T87">
        <f ca="1">IFERROR(__xludf.DUMMYFUNCTION("""COMPUTED_VALUE"""),8200)</f>
        <v>8200</v>
      </c>
      <c r="U87" t="str">
        <f ca="1">IFERROR(__xludf.DUMMYFUNCTION("""COMPUTED_VALUE"""),"24.09.2022 КР")</f>
        <v>24.09.2022 КР</v>
      </c>
      <c r="Z87" t="str">
        <f ca="1">IFERROR(__xludf.DUMMYFUNCTION("""COMPUTED_VALUE"""),"ООО «КЕРРИЛАЙН»")</f>
        <v>ООО «КЕРРИЛАЙН»</v>
      </c>
      <c r="AA87" t="str">
        <f ca="1">IFERROR(__xludf.DUMMYFUNCTION("""COMPUTED_VALUE"""),"11-286")</f>
        <v>11-286</v>
      </c>
      <c r="AB87" t="str">
        <f ca="1">IFERROR(__xludf.DUMMYFUNCTION("""COMPUTED_VALUE"""),"48 ДОН")</f>
        <v>48 ДОН</v>
      </c>
      <c r="AC87" t="str">
        <f ca="1">IFERROR(__xludf.DUMMYFUNCTION("""COMPUTED_VALUE"""),"49480 СОЛЬ")</f>
        <v>49480 СОЛЬ</v>
      </c>
      <c r="AD87" t="str">
        <f ca="1">IFERROR(__xludf.DUMMYFUNCTION("""COMPUTED_VALUE"""),"08.08.20 05-10")</f>
        <v>08.08.20 05-10</v>
      </c>
      <c r="AE87" t="str">
        <f ca="1">IFERROR(__xludf.DUMMYFUNCTION("""COMPUTED_VALUE"""),"563")</f>
        <v>563</v>
      </c>
      <c r="AF87" t="str">
        <f ca="1">IFERROR(__xludf.DUMMYFUNCTION("""COMPUTED_VALUE"""),"48 ДОН")</f>
        <v>48 ДОН</v>
      </c>
      <c r="AG87" t="str">
        <f ca="1">IFERROR(__xludf.DUMMYFUNCTION("""COMPUTED_VALUE"""),"49480 СОЛЬ")</f>
        <v>49480 СОЛЬ</v>
      </c>
      <c r="AH87" t="str">
        <f ca="1">IFERROR(__xludf.DUMMYFUNCTION("""COMPUTED_VALUE"""),"13.08.20 16-00")</f>
        <v>13.08.20 16-00</v>
      </c>
      <c r="AI87" s="21">
        <f ca="1">IFERROR(__xludf.DUMMYFUNCTION("""COMPUTED_VALUE"""),44420.3576504629)</f>
        <v>44420.357650462902</v>
      </c>
    </row>
    <row r="88" spans="1:35" ht="13" x14ac:dyDescent="0.15">
      <c r="A88">
        <f ca="1">IFERROR(__xludf.DUMMYFUNCTION("""COMPUTED_VALUE"""),275)</f>
        <v>275</v>
      </c>
      <c r="B88" t="str">
        <f ca="1">IFERROR(__xludf.DUMMYFUNCTION("""COMPUTED_VALUE"""),"Кнауф")</f>
        <v>Кнауф</v>
      </c>
      <c r="C88" t="str">
        <f ca="1">IFERROR(__xludf.DUMMYFUNCTION("""COMPUTED_VALUE"""),"Керрилайн")</f>
        <v>Керрилайн</v>
      </c>
      <c r="D88">
        <f ca="1">IFERROR(__xludf.DUMMYFUNCTION("""COMPUTED_VALUE"""),52413481)</f>
        <v>52413481</v>
      </c>
      <c r="E88" t="str">
        <f ca="1">IFERROR(__xludf.DUMMYFUNCTION("""COMPUTED_VALUE"""),"20 КРЫТЫЕ")</f>
        <v>20 КРЫТЫЕ</v>
      </c>
      <c r="F88">
        <f ca="1">IFERROR(__xludf.DUMMYFUNCTION("""COMPUTED_VALUE"""),23304)</f>
        <v>23304</v>
      </c>
      <c r="G88" t="str">
        <f ca="1">IFERROR(__xludf.DUMMYFUNCTION("""COMPUTED_VALUE"""),"ГИПС ПР")</f>
        <v>ГИПС ПР</v>
      </c>
      <c r="H88">
        <f ca="1">IFERROR(__xludf.DUMMYFUNCTION("""COMPUTED_VALUE"""),67)</f>
        <v>67</v>
      </c>
      <c r="I88">
        <f ca="1">IFERROR(__xludf.DUMMYFUNCTION("""COMPUTED_VALUE"""),1222)</f>
        <v>1222</v>
      </c>
      <c r="J88" t="str">
        <f ca="1">IFERROR(__xludf.DUMMYFUNCTION("""COMPUTED_VALUE"""),"5555 (35000-007-00080) ЗДОЛБУНОВ -")</f>
        <v>5555 (35000-007-00080) ЗДОЛБУНОВ -</v>
      </c>
      <c r="K88">
        <f ca="1">IFERROR(__xludf.DUMMYFUNCTION("""COMPUTED_VALUE"""),35000)</f>
        <v>35000</v>
      </c>
      <c r="L88" t="str">
        <f ca="1">IFERROR(__xludf.DUMMYFUNCTION("""COMPUTED_VALUE"""),"ЗДОЛБУНОВ")</f>
        <v>ЗДОЛБУНОВ</v>
      </c>
      <c r="M88" t="str">
        <f ca="1">IFERROR(__xludf.DUMMYFUNCTION("""COMPUTED_VALUE"""),"11.08.21 23-11")</f>
        <v>11.08.21 23-11</v>
      </c>
      <c r="N88" t="str">
        <f ca="1">IFERROR(__xludf.DUMMYFUNCTION("""COMPUTED_VALUE"""),"04 РАСФ")</f>
        <v>04 РАСФ</v>
      </c>
      <c r="O88">
        <f ca="1">IFERROR(__xludf.DUMMYFUNCTION("""COMPUTED_VALUE"""),35660)</f>
        <v>35660</v>
      </c>
      <c r="P88" t="str">
        <f ca="1">IFERROR(__xludf.DUMMYFUNCTION("""COMPUTED_VALUE"""),"РОВНО")</f>
        <v>РОВНО</v>
      </c>
      <c r="Q88">
        <f ca="1">IFERROR(__xludf.DUMMYFUNCTION("""COMPUTED_VALUE"""),49620)</f>
        <v>49620</v>
      </c>
      <c r="R88" t="str">
        <f ca="1">IFERROR(__xludf.DUMMYFUNCTION("""COMPUTED_VALUE"""),"ДЕКОНСКАЯ")</f>
        <v>ДЕКОНСКАЯ</v>
      </c>
      <c r="S88" t="str">
        <f ca="1">IFERROR(__xludf.DUMMYFUNCTION("""COMPUTED_VALUE"""),"05.08.21 09-00")</f>
        <v>05.08.21 09-00</v>
      </c>
      <c r="T88">
        <f ca="1">IFERROR(__xludf.DUMMYFUNCTION("""COMPUTED_VALUE"""),4149)</f>
        <v>4149</v>
      </c>
      <c r="U88" t="str">
        <f ca="1">IFERROR(__xludf.DUMMYFUNCTION("""COMPUTED_VALUE"""),"27.09.2021 ДР")</f>
        <v>27.09.2021 ДР</v>
      </c>
      <c r="Z88" t="str">
        <f ca="1">IFERROR(__xludf.DUMMYFUNCTION("""COMPUTED_VALUE"""),"ООО «КЕРРИЛАЙН»")</f>
        <v>ООО «КЕРРИЛАЙН»</v>
      </c>
      <c r="AA88" t="str">
        <f ca="1">IFERROR(__xludf.DUMMYFUNCTION("""COMPUTED_VALUE"""),"11-270")</f>
        <v>11-270</v>
      </c>
      <c r="AB88" t="str">
        <f ca="1">IFERROR(__xludf.DUMMYFUNCTION("""COMPUTED_VALUE"""),"48 ДОН")</f>
        <v>48 ДОН</v>
      </c>
      <c r="AC88" t="str">
        <f ca="1">IFERROR(__xludf.DUMMYFUNCTION("""COMPUTED_VALUE"""),"49480 СОЛЬ")</f>
        <v>49480 СОЛЬ</v>
      </c>
      <c r="AD88" t="str">
        <f ca="1">IFERROR(__xludf.DUMMYFUNCTION("""COMPUTED_VALUE"""),"14.03.21 03-10")</f>
        <v>14.03.21 03-10</v>
      </c>
      <c r="AE88" t="str">
        <f ca="1">IFERROR(__xludf.DUMMYFUNCTION("""COMPUTED_VALUE"""),"402 НEИCПPAВНOCТЬ AВТOPEГУЛЯТOPA")</f>
        <v>402 НEИCПPAВНOCТЬ AВТOPEГУЛЯТOPA</v>
      </c>
      <c r="AF88" t="str">
        <f ca="1">IFERROR(__xludf.DUMMYFUNCTION("""COMPUTED_VALUE"""),"48 ДОН")</f>
        <v>48 ДОН</v>
      </c>
      <c r="AG88" t="str">
        <f ca="1">IFERROR(__xludf.DUMMYFUNCTION("""COMPUTED_VALUE"""),"49480 СОЛЬ")</f>
        <v>49480 СОЛЬ</v>
      </c>
      <c r="AH88" t="str">
        <f ca="1">IFERROR(__xludf.DUMMYFUNCTION("""COMPUTED_VALUE"""),"01.04.21 16-00")</f>
        <v>01.04.21 16-00</v>
      </c>
      <c r="AI88" s="21">
        <f ca="1">IFERROR(__xludf.DUMMYFUNCTION("""COMPUTED_VALUE"""),44420.3576504629)</f>
        <v>44420.357650462902</v>
      </c>
    </row>
    <row r="89" spans="1:35" ht="13" x14ac:dyDescent="0.15">
      <c r="A89">
        <f ca="1">IFERROR(__xludf.DUMMYFUNCTION("""COMPUTED_VALUE"""),276)</f>
        <v>276</v>
      </c>
      <c r="B89" t="str">
        <f ca="1">IFERROR(__xludf.DUMMYFUNCTION("""COMPUTED_VALUE"""),"Кнауф")</f>
        <v>Кнауф</v>
      </c>
      <c r="C89" t="str">
        <f ca="1">IFERROR(__xludf.DUMMYFUNCTION("""COMPUTED_VALUE"""),"Керрилайн 64")</f>
        <v>Керрилайн 64</v>
      </c>
      <c r="D89">
        <f ca="1">IFERROR(__xludf.DUMMYFUNCTION("""COMPUTED_VALUE"""),52522232)</f>
        <v>52522232</v>
      </c>
      <c r="E89" t="str">
        <f ca="1">IFERROR(__xludf.DUMMYFUNCTION("""COMPUTED_VALUE"""),"20 КРЫТЫЕ")</f>
        <v>20 КРЫТЫЕ</v>
      </c>
      <c r="F89">
        <f ca="1">IFERROR(__xludf.DUMMYFUNCTION("""COMPUTED_VALUE"""),42119)</f>
        <v>42119</v>
      </c>
      <c r="G89" t="str">
        <f ca="1">IFERROR(__xludf.DUMMYFUNCTION("""COMPUTED_VALUE"""),"ВАГОНЫ ЖД РЕМОН")</f>
        <v>ВАГОНЫ ЖД РЕМОН</v>
      </c>
      <c r="H89">
        <f ca="1">IFERROR(__xludf.DUMMYFUNCTION("""COMPUTED_VALUE"""),0)</f>
        <v>0</v>
      </c>
      <c r="I89">
        <f ca="1">IFERROR(__xludf.DUMMYFUNCTION("""COMPUTED_VALUE"""),9357)</f>
        <v>9357</v>
      </c>
      <c r="J89" t="str">
        <f ca="1">IFERROR(__xludf.DUMMYFUNCTION("""COMPUTED_VALUE"""),"3704 (45640-083-45580) ВЕРХОВЦЕВО - КАМЕНСКОЕ")</f>
        <v>3704 (45640-083-45580) ВЕРХОВЦЕВО - КАМЕНСКОЕ</v>
      </c>
      <c r="K89">
        <f ca="1">IFERROR(__xludf.DUMMYFUNCTION("""COMPUTED_VALUE"""),45580)</f>
        <v>45580</v>
      </c>
      <c r="L89" t="str">
        <f ca="1">IFERROR(__xludf.DUMMYFUNCTION("""COMPUTED_VALUE"""),"КАМЕНСКОЕ")</f>
        <v>КАМЕНСКОЕ</v>
      </c>
      <c r="M89" t="str">
        <f ca="1">IFERROR(__xludf.DUMMYFUNCTION("""COMPUTED_VALUE"""),"18.06.21 14-20")</f>
        <v>18.06.21 14-20</v>
      </c>
      <c r="N89" t="str">
        <f ca="1">IFERROR(__xludf.DUMMYFUNCTION("""COMPUTED_VALUE"""),"98 ОТОТ")</f>
        <v>98 ОТОТ</v>
      </c>
      <c r="O89">
        <f ca="1">IFERROR(__xludf.DUMMYFUNCTION("""COMPUTED_VALUE"""),45580)</f>
        <v>45580</v>
      </c>
      <c r="P89" t="str">
        <f ca="1">IFERROR(__xludf.DUMMYFUNCTION("""COMPUTED_VALUE"""),"КАМЕНСКОЕ")</f>
        <v>КАМЕНСКОЕ</v>
      </c>
      <c r="Q89">
        <f ca="1">IFERROR(__xludf.DUMMYFUNCTION("""COMPUTED_VALUE"""),47600)</f>
        <v>47600</v>
      </c>
      <c r="R89" t="str">
        <f ca="1">IFERROR(__xludf.DUMMYFUNCTION("""COMPUTED_VALUE"""),"МЕЛИТОПОЛЬ")</f>
        <v>МЕЛИТОПОЛЬ</v>
      </c>
      <c r="S89" t="str">
        <f ca="1">IFERROR(__xludf.DUMMYFUNCTION("""COMPUTED_VALUE"""),"12.06.21 14-50")</f>
        <v>12.06.21 14-50</v>
      </c>
      <c r="T89">
        <f ca="1">IFERROR(__xludf.DUMMYFUNCTION("""COMPUTED_VALUE"""),9775)</f>
        <v>9775</v>
      </c>
      <c r="U89" t="str">
        <f ca="1">IFERROR(__xludf.DUMMYFUNCTION("""COMPUTED_VALUE"""),"13.08.2021 КР")</f>
        <v>13.08.2021 КР</v>
      </c>
      <c r="Z89" t="str">
        <f ca="1">IFERROR(__xludf.DUMMYFUNCTION("""COMPUTED_VALUE"""),"ООО «КЕРРИЛАЙН»")</f>
        <v>ООО «КЕРРИЛАЙН»</v>
      </c>
      <c r="AA89" t="str">
        <f ca="1">IFERROR(__xludf.DUMMYFUNCTION("""COMPUTED_VALUE"""),"11-270")</f>
        <v>11-270</v>
      </c>
      <c r="AB89" t="str">
        <f ca="1">IFERROR(__xludf.DUMMYFUNCTION("""COMPUTED_VALUE"""),"45 ПРИДН")</f>
        <v>45 ПРИДН</v>
      </c>
      <c r="AC89" t="str">
        <f ca="1">IFERROR(__xludf.DUMMYFUNCTION("""COMPUTED_VALUE"""),"47600 МЕЛИТОПОЛЬ")</f>
        <v>47600 МЕЛИТОПОЛЬ</v>
      </c>
      <c r="AD89" t="str">
        <f ca="1">IFERROR(__xludf.DUMMYFUNCTION("""COMPUTED_VALUE"""),"05.03.21 17-05")</f>
        <v>05.03.21 17-05</v>
      </c>
      <c r="AE89" t="str">
        <f ca="1">IFERROR(__xludf.DUMMYFUNCTION("""COMPUTED_VALUE"""),"571 ИCТEК КAЛЕНДАРНЫЙ CPOК КAПИТAЛЬНОГО PEМOНТA")</f>
        <v>571 ИCТEК КAЛЕНДАРНЫЙ CPOК КAПИТAЛЬНОГО PEМOНТA</v>
      </c>
      <c r="AF89" t="str">
        <f ca="1">IFERROR(__xludf.DUMMYFUNCTION("""COMPUTED_VALUE"""),"45 ПРИДН")</f>
        <v>45 ПРИДН</v>
      </c>
      <c r="AG89" t="str">
        <f ca="1">IFERROR(__xludf.DUMMYFUNCTION("""COMPUTED_VALUE"""),"45000 НИЖНЕДН-УЗЕЛ")</f>
        <v>45000 НИЖНЕДН-УЗЕЛ</v>
      </c>
      <c r="AH89" t="str">
        <f ca="1">IFERROR(__xludf.DUMMYFUNCTION("""COMPUTED_VALUE"""),"17.02.20 16-30")</f>
        <v>17.02.20 16-30</v>
      </c>
      <c r="AI89" s="21">
        <f ca="1">IFERROR(__xludf.DUMMYFUNCTION("""COMPUTED_VALUE"""),44420.3576504629)</f>
        <v>44420.357650462902</v>
      </c>
    </row>
    <row r="90" spans="1:35" ht="13" x14ac:dyDescent="0.15">
      <c r="A90">
        <f ca="1">IFERROR(__xludf.DUMMYFUNCTION("""COMPUTED_VALUE"""),277)</f>
        <v>277</v>
      </c>
      <c r="B90" t="str">
        <f ca="1">IFERROR(__xludf.DUMMYFUNCTION("""COMPUTED_VALUE"""),"Кнауф")</f>
        <v>Кнауф</v>
      </c>
      <c r="C90" t="str">
        <f ca="1">IFERROR(__xludf.DUMMYFUNCTION("""COMPUTED_VALUE"""),"Керрилайн РФ")</f>
        <v>Керрилайн РФ</v>
      </c>
      <c r="D90">
        <f ca="1">IFERROR(__xludf.DUMMYFUNCTION("""COMPUTED_VALUE"""),52577368)</f>
        <v>52577368</v>
      </c>
      <c r="E90" t="str">
        <f ca="1">IFERROR(__xludf.DUMMYFUNCTION("""COMPUTED_VALUE"""),"20 КРЫТЫЕ")</f>
        <v>20 КРЫТЫЕ</v>
      </c>
      <c r="F90">
        <f ca="1">IFERROR(__xludf.DUMMYFUNCTION("""COMPUTED_VALUE"""),42103)</f>
        <v>42103</v>
      </c>
      <c r="G90" t="str">
        <f ca="1">IFERROR(__xludf.DUMMYFUNCTION("""COMPUTED_VALUE"""),"ВАГОНЫ ЖД СВ")</f>
        <v>ВАГОНЫ ЖД СВ</v>
      </c>
      <c r="H90">
        <f ca="1">IFERROR(__xludf.DUMMYFUNCTION("""COMPUTED_VALUE"""),0)</f>
        <v>0</v>
      </c>
      <c r="I90">
        <f ca="1">IFERROR(__xludf.DUMMYFUNCTION("""COMPUTED_VALUE"""),4149)</f>
        <v>4149</v>
      </c>
      <c r="J90" t="str">
        <f ca="1">IFERROR(__xludf.DUMMYFUNCTION("""COMPUTED_VALUE"""),"3802 (49640-063-49620)  - ДЕКОНСКАЯ")</f>
        <v>3802 (49640-063-49620)  - ДЕКОНСКАЯ</v>
      </c>
      <c r="K90">
        <f ca="1">IFERROR(__xludf.DUMMYFUNCTION("""COMPUTED_VALUE"""),49620)</f>
        <v>49620</v>
      </c>
      <c r="L90" t="str">
        <f ca="1">IFERROR(__xludf.DUMMYFUNCTION("""COMPUTED_VALUE"""),"ДЕКОНСКАЯ")</f>
        <v>ДЕКОНСКАЯ</v>
      </c>
      <c r="M90" t="str">
        <f ca="1">IFERROR(__xludf.DUMMYFUNCTION("""COMPUTED_VALUE"""),"06.08.21 22-20")</f>
        <v>06.08.21 22-20</v>
      </c>
      <c r="N90" t="str">
        <f ca="1">IFERROR(__xludf.DUMMYFUNCTION("""COMPUTED_VALUE"""),"98 ОТОТ")</f>
        <v>98 ОТОТ</v>
      </c>
      <c r="O90">
        <f ca="1">IFERROR(__xludf.DUMMYFUNCTION("""COMPUTED_VALUE"""),49620)</f>
        <v>49620</v>
      </c>
      <c r="P90" t="str">
        <f ca="1">IFERROR(__xludf.DUMMYFUNCTION("""COMPUTED_VALUE"""),"ДЕКОНСКАЯ")</f>
        <v>ДЕКОНСКАЯ</v>
      </c>
      <c r="Q90">
        <f ca="1">IFERROR(__xludf.DUMMYFUNCTION("""COMPUTED_VALUE"""),44000)</f>
        <v>44000</v>
      </c>
      <c r="R90" t="str">
        <f ca="1">IFERROR(__xludf.DUMMYFUNCTION("""COMPUTED_VALUE"""),"ХАРЬКОВ-СОРТ")</f>
        <v>ХАРЬКОВ-СОРТ</v>
      </c>
      <c r="S90" t="str">
        <f ca="1">IFERROR(__xludf.DUMMYFUNCTION("""COMPUTED_VALUE"""),"02.08.21 15-50")</f>
        <v>02.08.21 15-50</v>
      </c>
      <c r="T90">
        <f ca="1">IFERROR(__xludf.DUMMYFUNCTION("""COMPUTED_VALUE"""),8454)</f>
        <v>8454</v>
      </c>
      <c r="U90" t="str">
        <f ca="1">IFERROR(__xludf.DUMMYFUNCTION("""COMPUTED_VALUE"""),"09.12.2023 ДР")</f>
        <v>09.12.2023 ДР</v>
      </c>
      <c r="Z90" t="str">
        <f ca="1">IFERROR(__xludf.DUMMYFUNCTION("""COMPUTED_VALUE"""),"ООО «КЕРРИЛАЙН»")</f>
        <v>ООО «КЕРРИЛАЙН»</v>
      </c>
      <c r="AA90" t="str">
        <f ca="1">IFERROR(__xludf.DUMMYFUNCTION("""COMPUTED_VALUE"""),"11-270")</f>
        <v>11-270</v>
      </c>
      <c r="AB90" t="str">
        <f ca="1">IFERROR(__xludf.DUMMYFUNCTION("""COMPUTED_VALUE"""),"45 ПРИДН")</f>
        <v>45 ПРИДН</v>
      </c>
      <c r="AC90" t="str">
        <f ca="1">IFERROR(__xludf.DUMMYFUNCTION("""COMPUTED_VALUE"""),"47600 МЕЛИТОПОЛЬ")</f>
        <v>47600 МЕЛИТОПОЛЬ</v>
      </c>
      <c r="AD90" t="str">
        <f ca="1">IFERROR(__xludf.DUMMYFUNCTION("""COMPUTED_VALUE"""),"04.12.20 07-55")</f>
        <v>04.12.20 07-55</v>
      </c>
      <c r="AE90" t="str">
        <f ca="1">IFERROR(__xludf.DUMMYFUNCTION("""COMPUTED_VALUE"""),"571 ИCТEК КAЛЕНДАРНЫЙ CPOК КAПИТAЛЬНОГО PEМOНТA")</f>
        <v>571 ИCТEК КAЛЕНДАРНЫЙ CPOК КAПИТAЛЬНОГО PEМOНТA</v>
      </c>
      <c r="AF90" t="str">
        <f ca="1">IFERROR(__xludf.DUMMYFUNCTION("""COMPUTED_VALUE"""),"45 ПРИДН")</f>
        <v>45 ПРИДН</v>
      </c>
      <c r="AG90" t="str">
        <f ca="1">IFERROR(__xludf.DUMMYFUNCTION("""COMPUTED_VALUE"""),"47600 МЕЛИТОПОЛЬ")</f>
        <v>47600 МЕЛИТОПОЛЬ</v>
      </c>
      <c r="AH90" t="str">
        <f ca="1">IFERROR(__xludf.DUMMYFUNCTION("""COMPUTED_VALUE"""),"09.12.20 14-20")</f>
        <v>09.12.20 14-20</v>
      </c>
      <c r="AI90" s="21">
        <f ca="1">IFERROR(__xludf.DUMMYFUNCTION("""COMPUTED_VALUE"""),44420.3576504629)</f>
        <v>44420.357650462902</v>
      </c>
    </row>
    <row r="91" spans="1:35" ht="13" x14ac:dyDescent="0.15">
      <c r="A91">
        <f ca="1">IFERROR(__xludf.DUMMYFUNCTION("""COMPUTED_VALUE"""),278)</f>
        <v>278</v>
      </c>
      <c r="B91" t="str">
        <f ca="1">IFERROR(__xludf.DUMMYFUNCTION("""COMPUTED_VALUE"""),"Кнауф")</f>
        <v>Кнауф</v>
      </c>
      <c r="C91" t="str">
        <f ca="1">IFERROR(__xludf.DUMMYFUNCTION("""COMPUTED_VALUE"""),"Керрилайн РФ")</f>
        <v>Керрилайн РФ</v>
      </c>
      <c r="D91">
        <f ca="1">IFERROR(__xludf.DUMMYFUNCTION("""COMPUTED_VALUE"""),52690104)</f>
        <v>52690104</v>
      </c>
      <c r="E91" t="str">
        <f ca="1">IFERROR(__xludf.DUMMYFUNCTION("""COMPUTED_VALUE"""),"28 КРЫТЫЕ_138")</f>
        <v>28 КРЫТЫЕ_138</v>
      </c>
      <c r="F91">
        <f ca="1">IFERROR(__xludf.DUMMYFUNCTION("""COMPUTED_VALUE"""),25123)</f>
        <v>25123</v>
      </c>
      <c r="G91" t="str">
        <f ca="1">IFERROR(__xludf.DUMMYFUNCTION("""COMPUTED_VALUE"""),"ПЛИТЫ ГИПСОВ")</f>
        <v>ПЛИТЫ ГИПСОВ</v>
      </c>
      <c r="H91">
        <f ca="1">IFERROR(__xludf.DUMMYFUNCTION("""COMPUTED_VALUE"""),63)</f>
        <v>63</v>
      </c>
      <c r="I91">
        <f ca="1">IFERROR(__xludf.DUMMYFUNCTION("""COMPUTED_VALUE"""),3314)</f>
        <v>3314</v>
      </c>
      <c r="J91" t="str">
        <f ca="1">IFERROR(__xludf.DUMMYFUNCTION("""COMPUTED_VALUE"""),"3853 (32000-476-32050) ДАРНИЦА - КИЕВ-ВОЛЫНСК")</f>
        <v>3853 (32000-476-32050) ДАРНИЦА - КИЕВ-ВОЛЫНСК</v>
      </c>
      <c r="K91">
        <f ca="1">IFERROR(__xludf.DUMMYFUNCTION("""COMPUTED_VALUE"""),32050)</f>
        <v>32050</v>
      </c>
      <c r="L91" t="str">
        <f ca="1">IFERROR(__xludf.DUMMYFUNCTION("""COMPUTED_VALUE"""),"КИЕВ-ВОЛЫНСК")</f>
        <v>КИЕВ-ВОЛЫНСК</v>
      </c>
      <c r="M91" t="str">
        <f ca="1">IFERROR(__xludf.DUMMYFUNCTION("""COMPUTED_VALUE"""),"10.08.21 15-55")</f>
        <v>10.08.21 15-55</v>
      </c>
      <c r="N91" t="str">
        <f ca="1">IFERROR(__xludf.DUMMYFUNCTION("""COMPUTED_VALUE"""),"04 РАСФ")</f>
        <v>04 РАСФ</v>
      </c>
      <c r="O91">
        <f ca="1">IFERROR(__xludf.DUMMYFUNCTION("""COMPUTED_VALUE"""),32040)</f>
        <v>32040</v>
      </c>
      <c r="P91" t="str">
        <f ca="1">IFERROR(__xludf.DUMMYFUNCTION("""COMPUTED_VALUE"""),"ГРУШКИ")</f>
        <v>ГРУШКИ</v>
      </c>
      <c r="Q91">
        <f ca="1">IFERROR(__xludf.DUMMYFUNCTION("""COMPUTED_VALUE"""),49620)</f>
        <v>49620</v>
      </c>
      <c r="R91" t="str">
        <f ca="1">IFERROR(__xludf.DUMMYFUNCTION("""COMPUTED_VALUE"""),"ДЕКОНСКАЯ")</f>
        <v>ДЕКОНСКАЯ</v>
      </c>
      <c r="S91" t="str">
        <f ca="1">IFERROR(__xludf.DUMMYFUNCTION("""COMPUTED_VALUE"""),"05.08.21 09-00")</f>
        <v>05.08.21 09-00</v>
      </c>
      <c r="T91">
        <f ca="1">IFERROR(__xludf.DUMMYFUNCTION("""COMPUTED_VALUE"""),4149)</f>
        <v>4149</v>
      </c>
      <c r="U91" t="str">
        <f ca="1">IFERROR(__xludf.DUMMYFUNCTION("""COMPUTED_VALUE"""),"25.02.2024 КР")</f>
        <v>25.02.2024 КР</v>
      </c>
      <c r="Z91" t="str">
        <f ca="1">IFERROR(__xludf.DUMMYFUNCTION("""COMPUTED_VALUE"""),"ООО «КЕРРИЛАЙН»")</f>
        <v>ООО «КЕРРИЛАЙН»</v>
      </c>
      <c r="AA91" t="str">
        <f ca="1">IFERROR(__xludf.DUMMYFUNCTION("""COMPUTED_VALUE"""),"11-286")</f>
        <v>11-286</v>
      </c>
      <c r="AB91" t="str">
        <f ca="1">IFERROR(__xludf.DUMMYFUNCTION("""COMPUTED_VALUE"""),"43 ЮЖН")</f>
        <v>43 ЮЖН</v>
      </c>
      <c r="AC91" t="str">
        <f ca="1">IFERROR(__xludf.DUMMYFUNCTION("""COMPUTED_VALUE"""),"44020 ОСНОВА")</f>
        <v>44020 ОСНОВА</v>
      </c>
      <c r="AD91" t="str">
        <f ca="1">IFERROR(__xludf.DUMMYFUNCTION("""COMPUTED_VALUE"""),"18.06.21 14-35")</f>
        <v>18.06.21 14-35</v>
      </c>
      <c r="AE91" t="str">
        <f ca="1">IFERROR(__xludf.DUMMYFUNCTION("""COMPUTED_VALUE"""),"537 НEИCПPAВНOCТЬ ЗAПOPA ДВEPИ")</f>
        <v>537 НEИCПPAВНOCТЬ ЗAПOPA ДВEPИ</v>
      </c>
      <c r="AF91" t="str">
        <f ca="1">IFERROR(__xludf.DUMMYFUNCTION("""COMPUTED_VALUE"""),"43 ЮЖН")</f>
        <v>43 ЮЖН</v>
      </c>
      <c r="AG91" t="str">
        <f ca="1">IFERROR(__xludf.DUMMYFUNCTION("""COMPUTED_VALUE"""),"44020 ОСНОВА")</f>
        <v>44020 ОСНОВА</v>
      </c>
      <c r="AH91" t="str">
        <f ca="1">IFERROR(__xludf.DUMMYFUNCTION("""COMPUTED_VALUE"""),"19.06.21 16-10")</f>
        <v>19.06.21 16-10</v>
      </c>
      <c r="AI91" s="21">
        <f ca="1">IFERROR(__xludf.DUMMYFUNCTION("""COMPUTED_VALUE"""),44420.3576504629)</f>
        <v>44420.357650462902</v>
      </c>
    </row>
    <row r="92" spans="1:35" ht="13" x14ac:dyDescent="0.15">
      <c r="A92">
        <f ca="1">IFERROR(__xludf.DUMMYFUNCTION("""COMPUTED_VALUE"""),279)</f>
        <v>279</v>
      </c>
      <c r="B92" t="str">
        <f ca="1">IFERROR(__xludf.DUMMYFUNCTION("""COMPUTED_VALUE"""),"ТЛГ")</f>
        <v>ТЛГ</v>
      </c>
      <c r="C92" t="str">
        <f ca="1">IFERROR(__xludf.DUMMYFUNCTION("""COMPUTED_VALUE"""),"Керрилайн 60 РФ")</f>
        <v>Керрилайн 60 РФ</v>
      </c>
      <c r="D92">
        <f ca="1">IFERROR(__xludf.DUMMYFUNCTION("""COMPUTED_VALUE"""),52701901)</f>
        <v>52701901</v>
      </c>
      <c r="E92" t="str">
        <f ca="1">IFERROR(__xludf.DUMMYFUNCTION("""COMPUTED_VALUE"""),"20 КРЫТЫЕ")</f>
        <v>20 КРЫТЫЕ</v>
      </c>
      <c r="F92">
        <f ca="1">IFERROR(__xludf.DUMMYFUNCTION("""COMPUTED_VALUE"""),42103)</f>
        <v>42103</v>
      </c>
      <c r="G92" t="str">
        <f ca="1">IFERROR(__xludf.DUMMYFUNCTION("""COMPUTED_VALUE"""),"ВАГОНЫ ЖД СВ")</f>
        <v>ВАГОНЫ ЖД СВ</v>
      </c>
      <c r="H92">
        <f ca="1">IFERROR(__xludf.DUMMYFUNCTION("""COMPUTED_VALUE"""),0)</f>
        <v>0</v>
      </c>
      <c r="I92">
        <f ca="1">IFERROR(__xludf.DUMMYFUNCTION("""COMPUTED_VALUE"""),3925)</f>
        <v>3925</v>
      </c>
      <c r="J92" t="str">
        <f ca="1">IFERROR(__xludf.DUMMYFUNCTION("""COMPUTED_VALUE"""),"1204 (40250-489-46600) ПАРОМНАЯ - НИКОПОЛЬ")</f>
        <v>1204 (40250-489-46600) ПАРОМНАЯ - НИКОПОЛЬ</v>
      </c>
      <c r="K92">
        <f ca="1">IFERROR(__xludf.DUMMYFUNCTION("""COMPUTED_VALUE"""),46600)</f>
        <v>46600</v>
      </c>
      <c r="L92" t="str">
        <f ca="1">IFERROR(__xludf.DUMMYFUNCTION("""COMPUTED_VALUE"""),"НИКОПОЛЬ")</f>
        <v>НИКОПОЛЬ</v>
      </c>
      <c r="M92" t="str">
        <f ca="1">IFERROR(__xludf.DUMMYFUNCTION("""COMPUTED_VALUE"""),"09.08.21 11-40")</f>
        <v>09.08.21 11-40</v>
      </c>
      <c r="N92" t="str">
        <f ca="1">IFERROR(__xludf.DUMMYFUNCTION("""COMPUTED_VALUE"""),"98 ОТОТ")</f>
        <v>98 ОТОТ</v>
      </c>
      <c r="O92">
        <f ca="1">IFERROR(__xludf.DUMMYFUNCTION("""COMPUTED_VALUE"""),46600)</f>
        <v>46600</v>
      </c>
      <c r="P92" t="str">
        <f ca="1">IFERROR(__xludf.DUMMYFUNCTION("""COMPUTED_VALUE"""),"НИКОПОЛЬ")</f>
        <v>НИКОПОЛЬ</v>
      </c>
      <c r="Q92">
        <f ca="1">IFERROR(__xludf.DUMMYFUNCTION("""COMPUTED_VALUE"""),40250)</f>
        <v>40250</v>
      </c>
      <c r="R92" t="str">
        <f ca="1">IFERROR(__xludf.DUMMYFUNCTION("""COMPUTED_VALUE"""),"ПАРОМНАЯ")</f>
        <v>ПАРОМНАЯ</v>
      </c>
      <c r="S92" t="str">
        <f ca="1">IFERROR(__xludf.DUMMYFUNCTION("""COMPUTED_VALUE"""),"06.08.21 22-30")</f>
        <v>06.08.21 22-30</v>
      </c>
      <c r="T92">
        <f ca="1">IFERROR(__xludf.DUMMYFUNCTION("""COMPUTED_VALUE"""),8331)</f>
        <v>8331</v>
      </c>
      <c r="U92" t="str">
        <f ca="1">IFERROR(__xludf.DUMMYFUNCTION("""COMPUTED_VALUE"""),"29.11.2023 ТР-1")</f>
        <v>29.11.2023 ТР-1</v>
      </c>
      <c r="Z92" t="str">
        <f ca="1">IFERROR(__xludf.DUMMYFUNCTION("""COMPUTED_VALUE"""),"ООО «КЕРРИЛАЙН»")</f>
        <v>ООО «КЕРРИЛАЙН»</v>
      </c>
      <c r="AA92" t="str">
        <f ca="1">IFERROR(__xludf.DUMMYFUNCTION("""COMPUTED_VALUE"""),"11-274")</f>
        <v>11-274</v>
      </c>
      <c r="AB92" t="str">
        <f ca="1">IFERROR(__xludf.DUMMYFUNCTION("""COMPUTED_VALUE"""),"48 ДОН")</f>
        <v>48 ДОН</v>
      </c>
      <c r="AC92" t="str">
        <f ca="1">IFERROR(__xludf.DUMMYFUNCTION("""COMPUTED_VALUE"""),"49200 СЛАВЯНСК")</f>
        <v>49200 СЛАВЯНСК</v>
      </c>
      <c r="AD92" t="str">
        <f ca="1">IFERROR(__xludf.DUMMYFUNCTION("""COMPUTED_VALUE"""),"04.06.21 19-02")</f>
        <v>04.06.21 19-02</v>
      </c>
      <c r="AE92" t="str">
        <f ca="1">IFERROR(__xludf.DUMMYFUNCTION("""COMPUTED_VALUE"""),"570 ИCТEК КAЛЕНДАРНЫЙ CPOК ДEПOВCКОГО PEМOНТA")</f>
        <v>570 ИCТEК КAЛЕНДАРНЫЙ CPOК ДEПOВCКОГО PEМOНТA</v>
      </c>
      <c r="AF92" t="str">
        <f ca="1">IFERROR(__xludf.DUMMYFUNCTION("""COMPUTED_VALUE"""),"48 ДОН")</f>
        <v>48 ДОН</v>
      </c>
      <c r="AG92" t="str">
        <f ca="1">IFERROR(__xludf.DUMMYFUNCTION("""COMPUTED_VALUE"""),"49200 СЛАВЯНСК")</f>
        <v>49200 СЛАВЯНСК</v>
      </c>
      <c r="AH92" t="str">
        <f ca="1">IFERROR(__xludf.DUMMYFUNCTION("""COMPUTED_VALUE"""),"11.06.21 14-00")</f>
        <v>11.06.21 14-00</v>
      </c>
      <c r="AI92" s="21">
        <f ca="1">IFERROR(__xludf.DUMMYFUNCTION("""COMPUTED_VALUE"""),44420.357662037)</f>
        <v>44420.357662037</v>
      </c>
    </row>
    <row r="93" spans="1:35" ht="13" x14ac:dyDescent="0.15">
      <c r="A93">
        <f ca="1">IFERROR(__xludf.DUMMYFUNCTION("""COMPUTED_VALUE"""),280)</f>
        <v>280</v>
      </c>
      <c r="B93" t="str">
        <f ca="1">IFERROR(__xludf.DUMMYFUNCTION("""COMPUTED_VALUE"""),"ТЛГ")</f>
        <v>ТЛГ</v>
      </c>
      <c r="C93" t="str">
        <f ca="1">IFERROR(__xludf.DUMMYFUNCTION("""COMPUTED_VALUE"""),"Керрилайн 60 РФ")</f>
        <v>Керрилайн 60 РФ</v>
      </c>
      <c r="D93">
        <f ca="1">IFERROR(__xludf.DUMMYFUNCTION("""COMPUTED_VALUE"""),52701927)</f>
        <v>52701927</v>
      </c>
      <c r="E93" t="str">
        <f ca="1">IFERROR(__xludf.DUMMYFUNCTION("""COMPUTED_VALUE"""),"20 КРЫТЫЕ")</f>
        <v>20 КРЫТЫЕ</v>
      </c>
      <c r="F93">
        <f ca="1">IFERROR(__xludf.DUMMYFUNCTION("""COMPUTED_VALUE"""),42103)</f>
        <v>42103</v>
      </c>
      <c r="G93" t="str">
        <f ca="1">IFERROR(__xludf.DUMMYFUNCTION("""COMPUTED_VALUE"""),"ВАГОНЫ ЖД СВ")</f>
        <v>ВАГОНЫ ЖД СВ</v>
      </c>
      <c r="H93">
        <f ca="1">IFERROR(__xludf.DUMMYFUNCTION("""COMPUTED_VALUE"""),0)</f>
        <v>0</v>
      </c>
      <c r="I93">
        <f ca="1">IFERROR(__xludf.DUMMYFUNCTION("""COMPUTED_VALUE"""),3925)</f>
        <v>3925</v>
      </c>
      <c r="J93" t="str">
        <f ca="1">IFERROR(__xludf.DUMMYFUNCTION("""COMPUTED_VALUE"""),"9506 (40250-492-46600) ПАРОМНАЯ - НИКОПОЛЬ")</f>
        <v>9506 (40250-492-46600) ПАРОМНАЯ - НИКОПОЛЬ</v>
      </c>
      <c r="K93">
        <f ca="1">IFERROR(__xludf.DUMMYFUNCTION("""COMPUTED_VALUE"""),40110)</f>
        <v>40110</v>
      </c>
      <c r="L93" t="str">
        <f ca="1">IFERROR(__xludf.DUMMYFUNCTION("""COMPUTED_VALUE"""),"ЧЕРНОМОРСКАЯ")</f>
        <v>ЧЕРНОМОРСКАЯ</v>
      </c>
      <c r="M93" t="str">
        <f ca="1">IFERROR(__xludf.DUMMYFUNCTION("""COMPUTED_VALUE"""),"12.08.21 07-50")</f>
        <v>12.08.21 07-50</v>
      </c>
      <c r="N93" t="str">
        <f ca="1">IFERROR(__xludf.DUMMYFUNCTION("""COMPUTED_VALUE"""),"01 ПРИБ")</f>
        <v>01 ПРИБ</v>
      </c>
      <c r="O93">
        <f ca="1">IFERROR(__xludf.DUMMYFUNCTION("""COMPUTED_VALUE"""),46600)</f>
        <v>46600</v>
      </c>
      <c r="P93" t="str">
        <f ca="1">IFERROR(__xludf.DUMMYFUNCTION("""COMPUTED_VALUE"""),"НИКОПОЛЬ")</f>
        <v>НИКОПОЛЬ</v>
      </c>
      <c r="Q93">
        <f ca="1">IFERROR(__xludf.DUMMYFUNCTION("""COMPUTED_VALUE"""),40250)</f>
        <v>40250</v>
      </c>
      <c r="R93" t="str">
        <f ca="1">IFERROR(__xludf.DUMMYFUNCTION("""COMPUTED_VALUE"""),"ПАРОМНАЯ")</f>
        <v>ПАРОМНАЯ</v>
      </c>
      <c r="S93" t="str">
        <f ca="1">IFERROR(__xludf.DUMMYFUNCTION("""COMPUTED_VALUE"""),"10.08.21 09-29")</f>
        <v>10.08.21 09-29</v>
      </c>
      <c r="T93">
        <f ca="1">IFERROR(__xludf.DUMMYFUNCTION("""COMPUTED_VALUE"""),8331)</f>
        <v>8331</v>
      </c>
      <c r="U93" t="str">
        <f ca="1">IFERROR(__xludf.DUMMYFUNCTION("""COMPUTED_VALUE"""),"31.10.2023 КР")</f>
        <v>31.10.2023 КР</v>
      </c>
      <c r="Z93" t="str">
        <f ca="1">IFERROR(__xludf.DUMMYFUNCTION("""COMPUTED_VALUE"""),"ООО «КЕРРИЛАЙН»")</f>
        <v>ООО «КЕРРИЛАЙН»</v>
      </c>
      <c r="AA93" t="str">
        <f ca="1">IFERROR(__xludf.DUMMYFUNCTION("""COMPUTED_VALUE"""),"11-274")</f>
        <v>11-274</v>
      </c>
      <c r="AB93" t="str">
        <f ca="1">IFERROR(__xludf.DUMMYFUNCTION("""COMPUTED_VALUE"""),"48 ДОН")</f>
        <v>48 ДОН</v>
      </c>
      <c r="AC93" t="str">
        <f ca="1">IFERROR(__xludf.DUMMYFUNCTION("""COMPUTED_VALUE"""),"49200 СЛАВЯНСК")</f>
        <v>49200 СЛАВЯНСК</v>
      </c>
      <c r="AD93" t="str">
        <f ca="1">IFERROR(__xludf.DUMMYFUNCTION("""COMPUTED_VALUE"""),"30.05.21 09-00")</f>
        <v>30.05.21 09-00</v>
      </c>
      <c r="AE93" t="str">
        <f ca="1">IFERROR(__xludf.DUMMYFUNCTION("""COMPUTED_VALUE"""),"102 ТOНКИЙ ГPEБEНЬ")</f>
        <v>102 ТOНКИЙ ГPEБEНЬ</v>
      </c>
      <c r="AF93" t="str">
        <f ca="1">IFERROR(__xludf.DUMMYFUNCTION("""COMPUTED_VALUE"""),"48 ДОН")</f>
        <v>48 ДОН</v>
      </c>
      <c r="AG93" t="str">
        <f ca="1">IFERROR(__xludf.DUMMYFUNCTION("""COMPUTED_VALUE"""),"49200 СЛАВЯНСК")</f>
        <v>49200 СЛАВЯНСК</v>
      </c>
      <c r="AH93" t="str">
        <f ca="1">IFERROR(__xludf.DUMMYFUNCTION("""COMPUTED_VALUE"""),"05.07.21 16-00")</f>
        <v>05.07.21 16-00</v>
      </c>
      <c r="AI93" s="21">
        <f ca="1">IFERROR(__xludf.DUMMYFUNCTION("""COMPUTED_VALUE"""),44420.357662037)</f>
        <v>44420.357662037</v>
      </c>
    </row>
    <row r="94" spans="1:35" ht="13" x14ac:dyDescent="0.15">
      <c r="A94">
        <f ca="1">IFERROR(__xludf.DUMMYFUNCTION("""COMPUTED_VALUE"""),281)</f>
        <v>281</v>
      </c>
      <c r="B94" t="str">
        <f ca="1">IFERROR(__xludf.DUMMYFUNCTION("""COMPUTED_VALUE"""),"ТЛГ")</f>
        <v>ТЛГ</v>
      </c>
      <c r="C94" t="str">
        <f ca="1">IFERROR(__xludf.DUMMYFUNCTION("""COMPUTED_VALUE"""),"Керрилайн 60 РФ")</f>
        <v>Керрилайн 60 РФ</v>
      </c>
      <c r="D94">
        <f ca="1">IFERROR(__xludf.DUMMYFUNCTION("""COMPUTED_VALUE"""),52701984)</f>
        <v>52701984</v>
      </c>
      <c r="E94" t="str">
        <f ca="1">IFERROR(__xludf.DUMMYFUNCTION("""COMPUTED_VALUE"""),"20 КРЫТЫЕ")</f>
        <v>20 КРЫТЫЕ</v>
      </c>
      <c r="F94">
        <f ca="1">IFERROR(__xludf.DUMMYFUNCTION("""COMPUTED_VALUE"""),42103)</f>
        <v>42103</v>
      </c>
      <c r="G94" t="str">
        <f ca="1">IFERROR(__xludf.DUMMYFUNCTION("""COMPUTED_VALUE"""),"ВАГОНЫ ЖД СВ")</f>
        <v>ВАГОНЫ ЖД СВ</v>
      </c>
      <c r="H94">
        <f ca="1">IFERROR(__xludf.DUMMYFUNCTION("""COMPUTED_VALUE"""),0)</f>
        <v>0</v>
      </c>
      <c r="I94">
        <f ca="1">IFERROR(__xludf.DUMMYFUNCTION("""COMPUTED_VALUE"""),3925)</f>
        <v>3925</v>
      </c>
      <c r="J94" t="str">
        <f ca="1">IFERROR(__xludf.DUMMYFUNCTION("""COMPUTED_VALUE"""),"3050 (35400-031-46710) КОВЕЛЬ - КРИВ.РОГ-СОР")</f>
        <v>3050 (35400-031-46710) КОВЕЛЬ - КРИВ.РОГ-СОР</v>
      </c>
      <c r="K94">
        <f ca="1">IFERROR(__xludf.DUMMYFUNCTION("""COMPUTED_VALUE"""),46710)</f>
        <v>46710</v>
      </c>
      <c r="L94" t="str">
        <f ca="1">IFERROR(__xludf.DUMMYFUNCTION("""COMPUTED_VALUE"""),"КРИВ.РОГ-СОР")</f>
        <v>КРИВ.РОГ-СОР</v>
      </c>
      <c r="M94" t="str">
        <f ca="1">IFERROR(__xludf.DUMMYFUNCTION("""COMPUTED_VALUE"""),"12.08.21 04-09")</f>
        <v>12.08.21 04-09</v>
      </c>
      <c r="N94" t="str">
        <f ca="1">IFERROR(__xludf.DUMMYFUNCTION("""COMPUTED_VALUE"""),"04 РАСФ")</f>
        <v>04 РАСФ</v>
      </c>
      <c r="O94">
        <f ca="1">IFERROR(__xludf.DUMMYFUNCTION("""COMPUTED_VALUE"""),46600)</f>
        <v>46600</v>
      </c>
      <c r="P94" t="str">
        <f ca="1">IFERROR(__xludf.DUMMYFUNCTION("""COMPUTED_VALUE"""),"НИКОПОЛЬ")</f>
        <v>НИКОПОЛЬ</v>
      </c>
      <c r="Q94">
        <f ca="1">IFERROR(__xludf.DUMMYFUNCTION("""COMPUTED_VALUE"""),35250)</f>
        <v>35250</v>
      </c>
      <c r="R94" t="str">
        <f ca="1">IFERROR(__xludf.DUMMYFUNCTION("""COMPUTED_VALUE"""),"ИЗОВ")</f>
        <v>ИЗОВ</v>
      </c>
      <c r="S94" t="str">
        <f ca="1">IFERROR(__xludf.DUMMYFUNCTION("""COMPUTED_VALUE"""),"04.08.21 12-00")</f>
        <v>04.08.21 12-00</v>
      </c>
      <c r="T94">
        <f ca="1">IFERROR(__xludf.DUMMYFUNCTION("""COMPUTED_VALUE"""),8331)</f>
        <v>8331</v>
      </c>
      <c r="U94" t="str">
        <f ca="1">IFERROR(__xludf.DUMMYFUNCTION("""COMPUTED_VALUE"""),"16.08.2023 ТР-1")</f>
        <v>16.08.2023 ТР-1</v>
      </c>
      <c r="Z94" t="str">
        <f ca="1">IFERROR(__xludf.DUMMYFUNCTION("""COMPUTED_VALUE"""),"ООО «КЕРРИЛАЙН»")</f>
        <v>ООО «КЕРРИЛАЙН»</v>
      </c>
      <c r="AA94" t="str">
        <f ca="1">IFERROR(__xludf.DUMMYFUNCTION("""COMPUTED_VALUE"""),"11-274")</f>
        <v>11-274</v>
      </c>
      <c r="AB94" t="str">
        <f ca="1">IFERROR(__xludf.DUMMYFUNCTION("""COMPUTED_VALUE"""),"48 ДОН")</f>
        <v>48 ДОН</v>
      </c>
      <c r="AC94" t="str">
        <f ca="1">IFERROR(__xludf.DUMMYFUNCTION("""COMPUTED_VALUE"""),"49200 СЛАВЯНСК")</f>
        <v>49200 СЛАВЯНСК</v>
      </c>
      <c r="AD94" t="str">
        <f ca="1">IFERROR(__xludf.DUMMYFUNCTION("""COMPUTED_VALUE"""),"04.06.21 19-02")</f>
        <v>04.06.21 19-02</v>
      </c>
      <c r="AE94" t="str">
        <f ca="1">IFERROR(__xludf.DUMMYFUNCTION("""COMPUTED_VALUE"""),"570 ИCТEК КAЛЕНДАРНЫЙ CPOК ДEПOВCКОГО PEМOНТA")</f>
        <v>570 ИCТEК КAЛЕНДАРНЫЙ CPOК ДEПOВCКОГО PEМOНТA</v>
      </c>
      <c r="AF94" t="str">
        <f ca="1">IFERROR(__xludf.DUMMYFUNCTION("""COMPUTED_VALUE"""),"48 ДОН")</f>
        <v>48 ДОН</v>
      </c>
      <c r="AG94" t="str">
        <f ca="1">IFERROR(__xludf.DUMMYFUNCTION("""COMPUTED_VALUE"""),"49200 СЛАВЯНСК")</f>
        <v>49200 СЛАВЯНСК</v>
      </c>
      <c r="AH94" t="str">
        <f ca="1">IFERROR(__xludf.DUMMYFUNCTION("""COMPUTED_VALUE"""),"10.06.21 10-00")</f>
        <v>10.06.21 10-00</v>
      </c>
      <c r="AI94" s="21">
        <f ca="1">IFERROR(__xludf.DUMMYFUNCTION("""COMPUTED_VALUE"""),44420.357662037)</f>
        <v>44420.357662037</v>
      </c>
    </row>
    <row r="95" spans="1:35" ht="13" x14ac:dyDescent="0.15">
      <c r="A95">
        <f ca="1">IFERROR(__xludf.DUMMYFUNCTION("""COMPUTED_VALUE"""),284)</f>
        <v>284</v>
      </c>
      <c r="B95" t="str">
        <f ca="1">IFERROR(__xludf.DUMMYFUNCTION("""COMPUTED_VALUE"""),"Кнауф")</f>
        <v>Кнауф</v>
      </c>
      <c r="C95" t="str">
        <f ca="1">IFERROR(__xludf.DUMMYFUNCTION("""COMPUTED_VALUE"""),"ТТГ")</f>
        <v>ТТГ</v>
      </c>
      <c r="D95">
        <f ca="1">IFERROR(__xludf.DUMMYFUNCTION("""COMPUTED_VALUE"""),52508488)</f>
        <v>52508488</v>
      </c>
      <c r="E95" t="str">
        <f ca="1">IFERROR(__xludf.DUMMYFUNCTION("""COMPUTED_VALUE"""),"20 КРЫТЫЕ")</f>
        <v>20 КРЫТЫЕ</v>
      </c>
      <c r="F95">
        <f ca="1">IFERROR(__xludf.DUMMYFUNCTION("""COMPUTED_VALUE"""),28114)</f>
        <v>28114</v>
      </c>
      <c r="G95" t="str">
        <f ca="1">IFERROR(__xludf.DUMMYFUNCTION("""COMPUTED_VALUE"""),"ЦЕМЕНТ ПР")</f>
        <v>ЦЕМЕНТ ПР</v>
      </c>
      <c r="H95">
        <f ca="1">IFERROR(__xludf.DUMMYFUNCTION("""COMPUTED_VALUE"""),68)</f>
        <v>68</v>
      </c>
      <c r="I95">
        <f ca="1">IFERROR(__xludf.DUMMYFUNCTION("""COMPUTED_VALUE"""),1744)</f>
        <v>1744</v>
      </c>
      <c r="J95" t="str">
        <f ca="1">IFERROR(__xludf.DUMMYFUNCTION("""COMPUTED_VALUE"""),"1111 (38840-180-37000) ИВАНО-ФРАНК - ЛЬВОВ")</f>
        <v>1111 (38840-180-37000) ИВАНО-ФРАНК - ЛЬВОВ</v>
      </c>
      <c r="K95">
        <f ca="1">IFERROR(__xludf.DUMMYFUNCTION("""COMPUTED_VALUE"""),38840)</f>
        <v>38840</v>
      </c>
      <c r="L95" t="str">
        <f ca="1">IFERROR(__xludf.DUMMYFUNCTION("""COMPUTED_VALUE"""),"ИВАНО-ФРАНК")</f>
        <v>ИВАНО-ФРАНК</v>
      </c>
      <c r="M95" t="str">
        <f ca="1">IFERROR(__xludf.DUMMYFUNCTION("""COMPUTED_VALUE"""),"11.08.21 14-10")</f>
        <v>11.08.21 14-10</v>
      </c>
      <c r="N95" t="str">
        <f ca="1">IFERROR(__xludf.DUMMYFUNCTION("""COMPUTED_VALUE"""),"05 ФОРМ")</f>
        <v>05 ФОРМ</v>
      </c>
      <c r="O95">
        <f ca="1">IFERROR(__xludf.DUMMYFUNCTION("""COMPUTED_VALUE"""),49210)</f>
        <v>49210</v>
      </c>
      <c r="P95" t="str">
        <f ca="1">IFERROR(__xludf.DUMMYFUNCTION("""COMPUTED_VALUE"""),"СЛАВЯНСК-ВЕТ")</f>
        <v>СЛАВЯНСК-ВЕТ</v>
      </c>
      <c r="Q95">
        <f ca="1">IFERROR(__xludf.DUMMYFUNCTION("""COMPUTED_VALUE"""),38830)</f>
        <v>38830</v>
      </c>
      <c r="R95" t="str">
        <f ca="1">IFERROR(__xludf.DUMMYFUNCTION("""COMPUTED_VALUE"""),"ЯМНИЦА")</f>
        <v>ЯМНИЦА</v>
      </c>
      <c r="S95" t="str">
        <f ca="1">IFERROR(__xludf.DUMMYFUNCTION("""COMPUTED_VALUE"""),"08.08.21 02-20")</f>
        <v>08.08.21 02-20</v>
      </c>
      <c r="T95">
        <f ca="1">IFERROR(__xludf.DUMMYFUNCTION("""COMPUTED_VALUE"""),8199)</f>
        <v>8199</v>
      </c>
      <c r="U95" t="str">
        <f ca="1">IFERROR(__xludf.DUMMYFUNCTION("""COMPUTED_VALUE"""),"28.05.2024 ДР")</f>
        <v>28.05.2024 ДР</v>
      </c>
      <c r="Z95" t="str">
        <f ca="1">IFERROR(__xludf.DUMMYFUNCTION("""COMPUTED_VALUE"""),"ООО «БОРВИЙТРАНС»")</f>
        <v>ООО «БОРВИЙТРАНС»</v>
      </c>
      <c r="AA95" t="str">
        <f ca="1">IFERROR(__xludf.DUMMYFUNCTION("""COMPUTED_VALUE"""),"11-217")</f>
        <v>11-217</v>
      </c>
      <c r="AB95" t="str">
        <f ca="1">IFERROR(__xludf.DUMMYFUNCTION("""COMPUTED_VALUE"""),"43 ЮЖН")</f>
        <v>43 ЮЖН</v>
      </c>
      <c r="AC95" t="str">
        <f ca="1">IFERROR(__xludf.DUMMYFUNCTION("""COMPUTED_VALUE"""),"42500 КРЕМЕНЧУГ")</f>
        <v>42500 КРЕМЕНЧУГ</v>
      </c>
      <c r="AD95" t="str">
        <f ca="1">IFERROR(__xludf.DUMMYFUNCTION("""COMPUTED_VALUE"""),"11.05.21 11-40")</f>
        <v>11.05.21 11-40</v>
      </c>
      <c r="AE95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95" t="str">
        <f ca="1">IFERROR(__xludf.DUMMYFUNCTION("""COMPUTED_VALUE"""),"43 ЮЖН")</f>
        <v>43 ЮЖН</v>
      </c>
      <c r="AG95" t="str">
        <f ca="1">IFERROR(__xludf.DUMMYFUNCTION("""COMPUTED_VALUE"""),"42500 КРЕМЕНЧУГ")</f>
        <v>42500 КРЕМЕНЧУГ</v>
      </c>
      <c r="AH95" t="str">
        <f ca="1">IFERROR(__xludf.DUMMYFUNCTION("""COMPUTED_VALUE"""),"28.05.21 13-00")</f>
        <v>28.05.21 13-00</v>
      </c>
      <c r="AI95" s="21">
        <f ca="1">IFERROR(__xludf.DUMMYFUNCTION("""COMPUTED_VALUE"""),44420.357662037)</f>
        <v>44420.357662037</v>
      </c>
    </row>
    <row r="96" spans="1:35" ht="13" x14ac:dyDescent="0.15">
      <c r="A96">
        <f ca="1">IFERROR(__xludf.DUMMYFUNCTION("""COMPUTED_VALUE"""),285)</f>
        <v>285</v>
      </c>
      <c r="B96" t="str">
        <f ca="1">IFERROR(__xludf.DUMMYFUNCTION("""COMPUTED_VALUE"""),"Кнауф")</f>
        <v>Кнауф</v>
      </c>
      <c r="C96" t="str">
        <f ca="1">IFERROR(__xludf.DUMMYFUNCTION("""COMPUTED_VALUE"""),"ТТГ")</f>
        <v>ТТГ</v>
      </c>
      <c r="D96">
        <f ca="1">IFERROR(__xludf.DUMMYFUNCTION("""COMPUTED_VALUE"""),52508439)</f>
        <v>52508439</v>
      </c>
      <c r="E96" t="str">
        <f ca="1">IFERROR(__xludf.DUMMYFUNCTION("""COMPUTED_VALUE"""),"20 КРЫТЫЕ")</f>
        <v>20 КРЫТЫЕ</v>
      </c>
      <c r="F96">
        <f ca="1">IFERROR(__xludf.DUMMYFUNCTION("""COMPUTED_VALUE"""),42103)</f>
        <v>42103</v>
      </c>
      <c r="G96" t="str">
        <f ca="1">IFERROR(__xludf.DUMMYFUNCTION("""COMPUTED_VALUE"""),"ВАГОНЫ ЖД СВ")</f>
        <v>ВАГОНЫ ЖД СВ</v>
      </c>
      <c r="H96">
        <f ca="1">IFERROR(__xludf.DUMMYFUNCTION("""COMPUTED_VALUE"""),0)</f>
        <v>0</v>
      </c>
      <c r="I96">
        <f ca="1">IFERROR(__xludf.DUMMYFUNCTION("""COMPUTED_VALUE"""),4149)</f>
        <v>4149</v>
      </c>
      <c r="J96" t="str">
        <f ca="1">IFERROR(__xludf.DUMMYFUNCTION("""COMPUTED_VALUE"""),"3632 (32040-006-32000) ГРУШКИ - ДАРНИЦА")</f>
        <v>3632 (32040-006-32000) ГРУШКИ - ДАРНИЦА</v>
      </c>
      <c r="K96">
        <f ca="1">IFERROR(__xludf.DUMMYFUNCTION("""COMPUTED_VALUE"""),32000)</f>
        <v>32000</v>
      </c>
      <c r="L96" t="str">
        <f ca="1">IFERROR(__xludf.DUMMYFUNCTION("""COMPUTED_VALUE"""),"ДАРНИЦА")</f>
        <v>ДАРНИЦА</v>
      </c>
      <c r="M96" t="str">
        <f ca="1">IFERROR(__xludf.DUMMYFUNCTION("""COMPUTED_VALUE"""),"12.08.21 01-01")</f>
        <v>12.08.21 01-01</v>
      </c>
      <c r="N96" t="str">
        <f ca="1">IFERROR(__xludf.DUMMYFUNCTION("""COMPUTED_VALUE"""),"04 РАСФ")</f>
        <v>04 РАСФ</v>
      </c>
      <c r="O96">
        <f ca="1">IFERROR(__xludf.DUMMYFUNCTION("""COMPUTED_VALUE"""),49620)</f>
        <v>49620</v>
      </c>
      <c r="P96" t="str">
        <f ca="1">IFERROR(__xludf.DUMMYFUNCTION("""COMPUTED_VALUE"""),"ДЕКОНСКАЯ")</f>
        <v>ДЕКОНСКАЯ</v>
      </c>
      <c r="Q96">
        <f ca="1">IFERROR(__xludf.DUMMYFUNCTION("""COMPUTED_VALUE"""),32040)</f>
        <v>32040</v>
      </c>
      <c r="R96" t="str">
        <f ca="1">IFERROR(__xludf.DUMMYFUNCTION("""COMPUTED_VALUE"""),"ГРУШКИ")</f>
        <v>ГРУШКИ</v>
      </c>
      <c r="S96" t="str">
        <f ca="1">IFERROR(__xludf.DUMMYFUNCTION("""COMPUTED_VALUE"""),"08.08.21 08-00")</f>
        <v>08.08.21 08-00</v>
      </c>
      <c r="T96">
        <f ca="1">IFERROR(__xludf.DUMMYFUNCTION("""COMPUTED_VALUE"""),3314)</f>
        <v>3314</v>
      </c>
      <c r="U96" t="str">
        <f ca="1">IFERROR(__xludf.DUMMYFUNCTION("""COMPUTED_VALUE"""),"30.05.2024 ДР")</f>
        <v>30.05.2024 ДР</v>
      </c>
      <c r="Z96" t="str">
        <f ca="1">IFERROR(__xludf.DUMMYFUNCTION("""COMPUTED_VALUE"""),"ООО «БОРВИЙТРАНС»")</f>
        <v>ООО «БОРВИЙТРАНС»</v>
      </c>
      <c r="AA96" t="str">
        <f ca="1">IFERROR(__xludf.DUMMYFUNCTION("""COMPUTED_VALUE"""),"11-217")</f>
        <v>11-217</v>
      </c>
      <c r="AB96" t="str">
        <f ca="1">IFERROR(__xludf.DUMMYFUNCTION("""COMPUTED_VALUE"""),"43 ЮЖН")</f>
        <v>43 ЮЖН</v>
      </c>
      <c r="AC96" t="str">
        <f ca="1">IFERROR(__xludf.DUMMYFUNCTION("""COMPUTED_VALUE"""),"43000 КУПЯНСК-СОРТ")</f>
        <v>43000 КУПЯНСК-СОРТ</v>
      </c>
      <c r="AD96" t="str">
        <f ca="1">IFERROR(__xludf.DUMMYFUNCTION("""COMPUTED_VALUE"""),"14.05.21 01-21")</f>
        <v>14.05.21 01-21</v>
      </c>
      <c r="AE96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96" t="str">
        <f ca="1">IFERROR(__xludf.DUMMYFUNCTION("""COMPUTED_VALUE"""),"43 ЮЖН")</f>
        <v>43 ЮЖН</v>
      </c>
      <c r="AG96" t="str">
        <f ca="1">IFERROR(__xludf.DUMMYFUNCTION("""COMPUTED_VALUE"""),"43000 КУПЯНСК-СОРТ")</f>
        <v>43000 КУПЯНСК-СОРТ</v>
      </c>
      <c r="AH96" t="str">
        <f ca="1">IFERROR(__xludf.DUMMYFUNCTION("""COMPUTED_VALUE"""),"30.05.21 10-30")</f>
        <v>30.05.21 10-30</v>
      </c>
      <c r="AI96" s="21">
        <f ca="1">IFERROR(__xludf.DUMMYFUNCTION("""COMPUTED_VALUE"""),44420.357662037)</f>
        <v>44420.357662037</v>
      </c>
    </row>
    <row r="97" spans="1:35" ht="13" x14ac:dyDescent="0.15">
      <c r="A97">
        <f ca="1">IFERROR(__xludf.DUMMYFUNCTION("""COMPUTED_VALUE"""),287)</f>
        <v>287</v>
      </c>
      <c r="B97" t="str">
        <f ca="1">IFERROR(__xludf.DUMMYFUNCTION("""COMPUTED_VALUE"""),"Кнауф")</f>
        <v>Кнауф</v>
      </c>
      <c r="C97" t="str">
        <f ca="1">IFERROR(__xludf.DUMMYFUNCTION("""COMPUTED_VALUE"""),"ТТГ")</f>
        <v>ТТГ</v>
      </c>
      <c r="D97">
        <f ca="1">IFERROR(__xludf.DUMMYFUNCTION("""COMPUTED_VALUE"""),52592268)</f>
        <v>52592268</v>
      </c>
      <c r="E97" t="str">
        <f ca="1">IFERROR(__xludf.DUMMYFUNCTION("""COMPUTED_VALUE"""),"20 КРЫТЫЕ")</f>
        <v>20 КРЫТЫЕ</v>
      </c>
      <c r="F97">
        <f ca="1">IFERROR(__xludf.DUMMYFUNCTION("""COMPUTED_VALUE"""),28114)</f>
        <v>28114</v>
      </c>
      <c r="G97" t="str">
        <f ca="1">IFERROR(__xludf.DUMMYFUNCTION("""COMPUTED_VALUE"""),"ЦЕМЕНТ ПР")</f>
        <v>ЦЕМЕНТ ПР</v>
      </c>
      <c r="H97">
        <f ca="1">IFERROR(__xludf.DUMMYFUNCTION("""COMPUTED_VALUE"""),68)</f>
        <v>68</v>
      </c>
      <c r="I97">
        <f ca="1">IFERROR(__xludf.DUMMYFUNCTION("""COMPUTED_VALUE"""),1494)</f>
        <v>1494</v>
      </c>
      <c r="J97" t="str">
        <f ca="1">IFERROR(__xludf.DUMMYFUNCTION("""COMPUTED_VALUE"""),"4586 (44960-048-44050) ЛЮБОТИН - ХАРЬКОВ-БАЛ")</f>
        <v>4586 (44960-048-44050) ЛЮБОТИН - ХАРЬКОВ-БАЛ</v>
      </c>
      <c r="K97">
        <f ca="1">IFERROR(__xludf.DUMMYFUNCTION("""COMPUTED_VALUE"""),44050)</f>
        <v>44050</v>
      </c>
      <c r="L97" t="str">
        <f ca="1">IFERROR(__xludf.DUMMYFUNCTION("""COMPUTED_VALUE"""),"ХАРЬКОВ-БАЛ")</f>
        <v>ХАРЬКОВ-БАЛ</v>
      </c>
      <c r="M97" t="str">
        <f ca="1">IFERROR(__xludf.DUMMYFUNCTION("""COMPUTED_VALUE"""),"11.08.21 01-00")</f>
        <v>11.08.21 01-00</v>
      </c>
      <c r="N97" t="str">
        <f ca="1">IFERROR(__xludf.DUMMYFUNCTION("""COMPUTED_VALUE"""),"21 ВЫГ2")</f>
        <v>21 ВЫГ2</v>
      </c>
      <c r="O97">
        <f ca="1">IFERROR(__xludf.DUMMYFUNCTION("""COMPUTED_VALUE"""),49620)</f>
        <v>49620</v>
      </c>
      <c r="P97" t="str">
        <f ca="1">IFERROR(__xludf.DUMMYFUNCTION("""COMPUTED_VALUE"""),"ДЕКОНСКАЯ")</f>
        <v>ДЕКОНСКАЯ</v>
      </c>
      <c r="Q97">
        <f ca="1">IFERROR(__xludf.DUMMYFUNCTION("""COMPUTED_VALUE"""),38830)</f>
        <v>38830</v>
      </c>
      <c r="R97" t="str">
        <f ca="1">IFERROR(__xludf.DUMMYFUNCTION("""COMPUTED_VALUE"""),"ЯМНИЦА")</f>
        <v>ЯМНИЦА</v>
      </c>
      <c r="S97" t="str">
        <f ca="1">IFERROR(__xludf.DUMMYFUNCTION("""COMPUTED_VALUE"""),"06.08.21 17-15")</f>
        <v>06.08.21 17-15</v>
      </c>
      <c r="U97" t="str">
        <f ca="1">IFERROR(__xludf.DUMMYFUNCTION("""COMPUTED_VALUE"""),"17.05.2024 ДР")</f>
        <v>17.05.2024 ДР</v>
      </c>
      <c r="Z97" t="str">
        <f ca="1">IFERROR(__xludf.DUMMYFUNCTION("""COMPUTED_VALUE"""),"ООО «БОРВИЙТРАНС»")</f>
        <v>ООО «БОРВИЙТРАНС»</v>
      </c>
      <c r="AA97" t="str">
        <f ca="1">IFERROR(__xludf.DUMMYFUNCTION("""COMPUTED_VALUE"""),"11-270")</f>
        <v>11-270</v>
      </c>
      <c r="AB97" t="str">
        <f ca="1">IFERROR(__xludf.DUMMYFUNCTION("""COMPUTED_VALUE"""),"43 ЮЖН")</f>
        <v>43 ЮЖН</v>
      </c>
      <c r="AC97" t="str">
        <f ca="1">IFERROR(__xludf.DUMMYFUNCTION("""COMPUTED_VALUE"""),"42500 КРЕМЕНЧУГ")</f>
        <v>42500 КРЕМЕНЧУГ</v>
      </c>
      <c r="AD97" t="str">
        <f ca="1">IFERROR(__xludf.DUMMYFUNCTION("""COMPUTED_VALUE"""),"11.05.21 11-30")</f>
        <v>11.05.21 11-30</v>
      </c>
      <c r="AE97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97" t="str">
        <f ca="1">IFERROR(__xludf.DUMMYFUNCTION("""COMPUTED_VALUE"""),"43 ЮЖН")</f>
        <v>43 ЮЖН</v>
      </c>
      <c r="AG97" t="str">
        <f ca="1">IFERROR(__xludf.DUMMYFUNCTION("""COMPUTED_VALUE"""),"42500 КРЕМЕНЧУГ")</f>
        <v>42500 КРЕМЕНЧУГ</v>
      </c>
      <c r="AH97" t="str">
        <f ca="1">IFERROR(__xludf.DUMMYFUNCTION("""COMPUTED_VALUE"""),"17.05.21 15-00")</f>
        <v>17.05.21 15-00</v>
      </c>
      <c r="AI97" s="21">
        <f ca="1">IFERROR(__xludf.DUMMYFUNCTION("""COMPUTED_VALUE"""),44420.357662037)</f>
        <v>44420.357662037</v>
      </c>
    </row>
    <row r="98" spans="1:35" ht="13" x14ac:dyDescent="0.15">
      <c r="A98">
        <f ca="1">IFERROR(__xludf.DUMMYFUNCTION("""COMPUTED_VALUE"""),288)</f>
        <v>288</v>
      </c>
      <c r="B98" t="str">
        <f ca="1">IFERROR(__xludf.DUMMYFUNCTION("""COMPUTED_VALUE"""),"Кнауф")</f>
        <v>Кнауф</v>
      </c>
      <c r="C98" t="str">
        <f ca="1">IFERROR(__xludf.DUMMYFUNCTION("""COMPUTED_VALUE"""),"ТТГ")</f>
        <v>ТТГ</v>
      </c>
      <c r="D98">
        <f ca="1">IFERROR(__xludf.DUMMYFUNCTION("""COMPUTED_VALUE"""),52592243)</f>
        <v>52592243</v>
      </c>
      <c r="E98" t="str">
        <f ca="1">IFERROR(__xludf.DUMMYFUNCTION("""COMPUTED_VALUE"""),"20 КРЫТЫЕ")</f>
        <v>20 КРЫТЫЕ</v>
      </c>
      <c r="F98">
        <f ca="1">IFERROR(__xludf.DUMMYFUNCTION("""COMPUTED_VALUE"""),42103)</f>
        <v>42103</v>
      </c>
      <c r="G98" t="str">
        <f ca="1">IFERROR(__xludf.DUMMYFUNCTION("""COMPUTED_VALUE"""),"ВАГОНЫ ЖД СВ")</f>
        <v>ВАГОНЫ ЖД СВ</v>
      </c>
      <c r="H98">
        <f ca="1">IFERROR(__xludf.DUMMYFUNCTION("""COMPUTED_VALUE"""),0)</f>
        <v>0</v>
      </c>
      <c r="I98">
        <f ca="1">IFERROR(__xludf.DUMMYFUNCTION("""COMPUTED_VALUE"""),8199)</f>
        <v>8199</v>
      </c>
      <c r="J98" t="str">
        <f ca="1">IFERROR(__xludf.DUMMYFUNCTION("""COMPUTED_VALUE"""),"5555 (32000-600-00080) ДАРНИЦА -")</f>
        <v>5555 (32000-600-00080) ДАРНИЦА -</v>
      </c>
      <c r="K98">
        <f ca="1">IFERROR(__xludf.DUMMYFUNCTION("""COMPUTED_VALUE"""),32000)</f>
        <v>32000</v>
      </c>
      <c r="L98" t="str">
        <f ca="1">IFERROR(__xludf.DUMMYFUNCTION("""COMPUTED_VALUE"""),"ДАРНИЦА")</f>
        <v>ДАРНИЦА</v>
      </c>
      <c r="M98" t="str">
        <f ca="1">IFERROR(__xludf.DUMMYFUNCTION("""COMPUTED_VALUE"""),"12.08.21 03-37")</f>
        <v>12.08.21 03-37</v>
      </c>
      <c r="N98" t="str">
        <f ca="1">IFERROR(__xludf.DUMMYFUNCTION("""COMPUTED_VALUE"""),"05 ФОРМ")</f>
        <v>05 ФОРМ</v>
      </c>
      <c r="O98">
        <f ca="1">IFERROR(__xludf.DUMMYFUNCTION("""COMPUTED_VALUE"""),38830)</f>
        <v>38830</v>
      </c>
      <c r="P98" t="str">
        <f ca="1">IFERROR(__xludf.DUMMYFUNCTION("""COMPUTED_VALUE"""),"ЯМНИЦА")</f>
        <v>ЯМНИЦА</v>
      </c>
      <c r="Q98">
        <f ca="1">IFERROR(__xludf.DUMMYFUNCTION("""COMPUTED_VALUE"""),32040)</f>
        <v>32040</v>
      </c>
      <c r="R98" t="str">
        <f ca="1">IFERROR(__xludf.DUMMYFUNCTION("""COMPUTED_VALUE"""),"ГРУШКИ")</f>
        <v>ГРУШКИ</v>
      </c>
      <c r="S98" t="str">
        <f ca="1">IFERROR(__xludf.DUMMYFUNCTION("""COMPUTED_VALUE"""),"07.08.21 09-15")</f>
        <v>07.08.21 09-15</v>
      </c>
      <c r="T98">
        <f ca="1">IFERROR(__xludf.DUMMYFUNCTION("""COMPUTED_VALUE"""),8200)</f>
        <v>8200</v>
      </c>
      <c r="U98" t="str">
        <f ca="1">IFERROR(__xludf.DUMMYFUNCTION("""COMPUTED_VALUE"""),"26.05.2024 ДР")</f>
        <v>26.05.2024 ДР</v>
      </c>
      <c r="Z98" t="str">
        <f ca="1">IFERROR(__xludf.DUMMYFUNCTION("""COMPUTED_VALUE"""),"ООО «БОРВИЙТРАНС»")</f>
        <v>ООО «БОРВИЙТРАНС»</v>
      </c>
      <c r="AA98" t="str">
        <f ca="1">IFERROR(__xludf.DUMMYFUNCTION("""COMPUTED_VALUE"""),"11-270")</f>
        <v>11-270</v>
      </c>
      <c r="AB98" t="str">
        <f ca="1">IFERROR(__xludf.DUMMYFUNCTION("""COMPUTED_VALUE"""),"43 ЮЖН")</f>
        <v>43 ЮЖН</v>
      </c>
      <c r="AC98" t="str">
        <f ca="1">IFERROR(__xludf.DUMMYFUNCTION("""COMPUTED_VALUE"""),"43000 КУПЯНСК-СОРТ")</f>
        <v>43000 КУПЯНСК-СОРТ</v>
      </c>
      <c r="AD98" t="str">
        <f ca="1">IFERROR(__xludf.DUMMYFUNCTION("""COMPUTED_VALUE"""),"14.05.21 01-21")</f>
        <v>14.05.21 01-21</v>
      </c>
      <c r="AE98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98" t="str">
        <f ca="1">IFERROR(__xludf.DUMMYFUNCTION("""COMPUTED_VALUE"""),"43 ЮЖН")</f>
        <v>43 ЮЖН</v>
      </c>
      <c r="AG98" t="str">
        <f ca="1">IFERROR(__xludf.DUMMYFUNCTION("""COMPUTED_VALUE"""),"43000 КУПЯНСК-СОРТ")</f>
        <v>43000 КУПЯНСК-СОРТ</v>
      </c>
      <c r="AH98" t="str">
        <f ca="1">IFERROR(__xludf.DUMMYFUNCTION("""COMPUTED_VALUE"""),"26.05.21 11-30")</f>
        <v>26.05.21 11-30</v>
      </c>
      <c r="AI98" s="21">
        <f ca="1">IFERROR(__xludf.DUMMYFUNCTION("""COMPUTED_VALUE"""),44420.357662037)</f>
        <v>44420.357662037</v>
      </c>
    </row>
    <row r="99" spans="1:35" ht="13" x14ac:dyDescent="0.15">
      <c r="A99">
        <f ca="1">IFERROR(__xludf.DUMMYFUNCTION("""COMPUTED_VALUE"""),289)</f>
        <v>289</v>
      </c>
      <c r="B99" t="str">
        <f ca="1">IFERROR(__xludf.DUMMYFUNCTION("""COMPUTED_VALUE"""),"Кнауф")</f>
        <v>Кнауф</v>
      </c>
      <c r="C99" t="str">
        <f ca="1">IFERROR(__xludf.DUMMYFUNCTION("""COMPUTED_VALUE"""),"ТТГ")</f>
        <v>ТТГ</v>
      </c>
      <c r="D99">
        <f ca="1">IFERROR(__xludf.DUMMYFUNCTION("""COMPUTED_VALUE"""),52592250)</f>
        <v>52592250</v>
      </c>
      <c r="E99" t="str">
        <f ca="1">IFERROR(__xludf.DUMMYFUNCTION("""COMPUTED_VALUE"""),"20 КРЫТЫЕ")</f>
        <v>20 КРЫТЫЕ</v>
      </c>
      <c r="F99">
        <f ca="1">IFERROR(__xludf.DUMMYFUNCTION("""COMPUTED_VALUE"""),23304)</f>
        <v>23304</v>
      </c>
      <c r="G99" t="str">
        <f ca="1">IFERROR(__xludf.DUMMYFUNCTION("""COMPUTED_VALUE"""),"ГИПС ПР")</f>
        <v>ГИПС ПР</v>
      </c>
      <c r="H99">
        <f ca="1">IFERROR(__xludf.DUMMYFUNCTION("""COMPUTED_VALUE"""),67)</f>
        <v>67</v>
      </c>
      <c r="I99">
        <f ca="1">IFERROR(__xludf.DUMMYFUNCTION("""COMPUTED_VALUE"""),1559)</f>
        <v>1559</v>
      </c>
      <c r="J99" t="str">
        <f ca="1">IFERROR(__xludf.DUMMYFUNCTION("""COMPUTED_VALUE"""),"3510 (49460-045-49000) БАХМУТ - ЛИМАН")</f>
        <v>3510 (49460-045-49000) БАХМУТ - ЛИМАН</v>
      </c>
      <c r="K99">
        <f ca="1">IFERROR(__xludf.DUMMYFUNCTION("""COMPUTED_VALUE"""),49000)</f>
        <v>49000</v>
      </c>
      <c r="L99" t="str">
        <f ca="1">IFERROR(__xludf.DUMMYFUNCTION("""COMPUTED_VALUE"""),"ЛИМАН")</f>
        <v>ЛИМАН</v>
      </c>
      <c r="M99" t="str">
        <f ca="1">IFERROR(__xludf.DUMMYFUNCTION("""COMPUTED_VALUE"""),"11.08.21 18-19")</f>
        <v>11.08.21 18-19</v>
      </c>
      <c r="N99" t="str">
        <f ca="1">IFERROR(__xludf.DUMMYFUNCTION("""COMPUTED_VALUE"""),"04 РАСФ")</f>
        <v>04 РАСФ</v>
      </c>
      <c r="O99">
        <f ca="1">IFERROR(__xludf.DUMMYFUNCTION("""COMPUTED_VALUE"""),32060)</f>
        <v>32060</v>
      </c>
      <c r="P99" t="str">
        <f ca="1">IFERROR(__xludf.DUMMYFUNCTION("""COMPUTED_VALUE"""),"ПОЧАЙНА")</f>
        <v>ПОЧАЙНА</v>
      </c>
      <c r="Q99">
        <f ca="1">IFERROR(__xludf.DUMMYFUNCTION("""COMPUTED_VALUE"""),49620)</f>
        <v>49620</v>
      </c>
      <c r="R99" t="str">
        <f ca="1">IFERROR(__xludf.DUMMYFUNCTION("""COMPUTED_VALUE"""),"ДЕКОНСКАЯ")</f>
        <v>ДЕКОНСКАЯ</v>
      </c>
      <c r="S99" t="str">
        <f ca="1">IFERROR(__xludf.DUMMYFUNCTION("""COMPUTED_VALUE"""),"10.08.21 09-15")</f>
        <v>10.08.21 09-15</v>
      </c>
      <c r="T99">
        <f ca="1">IFERROR(__xludf.DUMMYFUNCTION("""COMPUTED_VALUE"""),4149)</f>
        <v>4149</v>
      </c>
      <c r="U99" t="str">
        <f ca="1">IFERROR(__xludf.DUMMYFUNCTION("""COMPUTED_VALUE"""),"31.05.2024 ДР")</f>
        <v>31.05.2024 ДР</v>
      </c>
      <c r="Z99" t="str">
        <f ca="1">IFERROR(__xludf.DUMMYFUNCTION("""COMPUTED_VALUE"""),"ООО «БОРВИЙТРАНС»")</f>
        <v>ООО «БОРВИЙТРАНС»</v>
      </c>
      <c r="AA99" t="str">
        <f ca="1">IFERROR(__xludf.DUMMYFUNCTION("""COMPUTED_VALUE"""),"11-270")</f>
        <v>11-270</v>
      </c>
      <c r="AB99" t="str">
        <f ca="1">IFERROR(__xludf.DUMMYFUNCTION("""COMPUTED_VALUE"""),"43 ЮЖН")</f>
        <v>43 ЮЖН</v>
      </c>
      <c r="AC99" t="str">
        <f ca="1">IFERROR(__xludf.DUMMYFUNCTION("""COMPUTED_VALUE"""),"43000 КУПЯНСК-СОРТ")</f>
        <v>43000 КУПЯНСК-СОРТ</v>
      </c>
      <c r="AD99" t="str">
        <f ca="1">IFERROR(__xludf.DUMMYFUNCTION("""COMPUTED_VALUE"""),"14.05.21 01-21")</f>
        <v>14.05.21 01-21</v>
      </c>
      <c r="AE99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99" t="str">
        <f ca="1">IFERROR(__xludf.DUMMYFUNCTION("""COMPUTED_VALUE"""),"43 ЮЖН")</f>
        <v>43 ЮЖН</v>
      </c>
      <c r="AG99" t="str">
        <f ca="1">IFERROR(__xludf.DUMMYFUNCTION("""COMPUTED_VALUE"""),"43000 КУПЯНСК-СОРТ")</f>
        <v>43000 КУПЯНСК-СОРТ</v>
      </c>
      <c r="AH99" t="str">
        <f ca="1">IFERROR(__xludf.DUMMYFUNCTION("""COMPUTED_VALUE"""),"31.05.21 15-00")</f>
        <v>31.05.21 15-00</v>
      </c>
      <c r="AI99" s="21">
        <f ca="1">IFERROR(__xludf.DUMMYFUNCTION("""COMPUTED_VALUE"""),44420.357662037)</f>
        <v>44420.357662037</v>
      </c>
    </row>
    <row r="100" spans="1:35" ht="13" x14ac:dyDescent="0.15">
      <c r="A100">
        <f ca="1">IFERROR(__xludf.DUMMYFUNCTION("""COMPUTED_VALUE"""),290)</f>
        <v>290</v>
      </c>
      <c r="B100" t="str">
        <f ca="1">IFERROR(__xludf.DUMMYFUNCTION("""COMPUTED_VALUE"""),"Кнауф")</f>
        <v>Кнауф</v>
      </c>
      <c r="C100" t="str">
        <f ca="1">IFERROR(__xludf.DUMMYFUNCTION("""COMPUTED_VALUE"""),"ТТГ")</f>
        <v>ТТГ</v>
      </c>
      <c r="D100">
        <f ca="1">IFERROR(__xludf.DUMMYFUNCTION("""COMPUTED_VALUE"""),52592235)</f>
        <v>52592235</v>
      </c>
      <c r="E100" t="str">
        <f ca="1">IFERROR(__xludf.DUMMYFUNCTION("""COMPUTED_VALUE"""),"20 КРЫТЫЕ")</f>
        <v>20 КРЫТЫЕ</v>
      </c>
      <c r="F100">
        <f ca="1">IFERROR(__xludf.DUMMYFUNCTION("""COMPUTED_VALUE"""),42103)</f>
        <v>42103</v>
      </c>
      <c r="G100" t="str">
        <f ca="1">IFERROR(__xludf.DUMMYFUNCTION("""COMPUTED_VALUE"""),"ВАГОНЫ ЖД СВ")</f>
        <v>ВАГОНЫ ЖД СВ</v>
      </c>
      <c r="H100">
        <f ca="1">IFERROR(__xludf.DUMMYFUNCTION("""COMPUTED_VALUE"""),0)</f>
        <v>0</v>
      </c>
      <c r="I100">
        <f ca="1">IFERROR(__xludf.DUMMYFUNCTION("""COMPUTED_VALUE"""),4149)</f>
        <v>4149</v>
      </c>
      <c r="J100" t="str">
        <f ca="1">IFERROR(__xludf.DUMMYFUNCTION("""COMPUTED_VALUE"""),"0000 (00000-000-00000)  -")</f>
        <v>0000 (00000-000-00000)  -</v>
      </c>
      <c r="K100">
        <f ca="1">IFERROR(__xludf.DUMMYFUNCTION("""COMPUTED_VALUE"""),40510)</f>
        <v>40510</v>
      </c>
      <c r="L100" t="str">
        <f ca="1">IFERROR(__xludf.DUMMYFUNCTION("""COMPUTED_VALUE"""),"ОДЕССА-ЗАС I")</f>
        <v>ОДЕССА-ЗАС I</v>
      </c>
      <c r="M100" t="str">
        <f ca="1">IFERROR(__xludf.DUMMYFUNCTION("""COMPUTED_VALUE"""),"11.08.21 11-27")</f>
        <v>11.08.21 11-27</v>
      </c>
      <c r="N100" t="str">
        <f ca="1">IFERROR(__xludf.DUMMYFUNCTION("""COMPUTED_VALUE"""),"73 КОРР")</f>
        <v>73 КОРР</v>
      </c>
      <c r="O100">
        <f ca="1">IFERROR(__xludf.DUMMYFUNCTION("""COMPUTED_VALUE"""),49620)</f>
        <v>49620</v>
      </c>
      <c r="P100" t="str">
        <f ca="1">IFERROR(__xludf.DUMMYFUNCTION("""COMPUTED_VALUE"""),"ДЕКОНСКАЯ")</f>
        <v>ДЕКОНСКАЯ</v>
      </c>
      <c r="Q100">
        <f ca="1">IFERROR(__xludf.DUMMYFUNCTION("""COMPUTED_VALUE"""),40510)</f>
        <v>40510</v>
      </c>
      <c r="R100" t="str">
        <f ca="1">IFERROR(__xludf.DUMMYFUNCTION("""COMPUTED_VALUE"""),"ОДЕССА-ЗАС I")</f>
        <v>ОДЕССА-ЗАС I</v>
      </c>
      <c r="S100" t="str">
        <f ca="1">IFERROR(__xludf.DUMMYFUNCTION("""COMPUTED_VALUE"""),"09.08.21 13-45")</f>
        <v>09.08.21 13-45</v>
      </c>
      <c r="T100">
        <f ca="1">IFERROR(__xludf.DUMMYFUNCTION("""COMPUTED_VALUE"""),2567)</f>
        <v>2567</v>
      </c>
      <c r="U100" t="str">
        <f ca="1">IFERROR(__xludf.DUMMYFUNCTION("""COMPUTED_VALUE"""),"30.05.2024 ДР")</f>
        <v>30.05.2024 ДР</v>
      </c>
      <c r="Z100" t="str">
        <f ca="1">IFERROR(__xludf.DUMMYFUNCTION("""COMPUTED_VALUE"""),"ООО «БОРВИЙТРАНС»")</f>
        <v>ООО «БОРВИЙТРАНС»</v>
      </c>
      <c r="AA100" t="str">
        <f ca="1">IFERROR(__xludf.DUMMYFUNCTION("""COMPUTED_VALUE"""),"11-270")</f>
        <v>11-270</v>
      </c>
      <c r="AB100" t="str">
        <f ca="1">IFERROR(__xludf.DUMMYFUNCTION("""COMPUTED_VALUE"""),"43 ЮЖН")</f>
        <v>43 ЮЖН</v>
      </c>
      <c r="AC100" t="str">
        <f ca="1">IFERROR(__xludf.DUMMYFUNCTION("""COMPUTED_VALUE"""),"43000 КУПЯНСК-СОРТ")</f>
        <v>43000 КУПЯНСК-СОРТ</v>
      </c>
      <c r="AD100" t="str">
        <f ca="1">IFERROR(__xludf.DUMMYFUNCTION("""COMPUTED_VALUE"""),"14.05.21 01-21")</f>
        <v>14.05.21 01-21</v>
      </c>
      <c r="AE100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100" t="str">
        <f ca="1">IFERROR(__xludf.DUMMYFUNCTION("""COMPUTED_VALUE"""),"43 ЮЖН")</f>
        <v>43 ЮЖН</v>
      </c>
      <c r="AG100" t="str">
        <f ca="1">IFERROR(__xludf.DUMMYFUNCTION("""COMPUTED_VALUE"""),"43000 КУПЯНСК-СОРТ")</f>
        <v>43000 КУПЯНСК-СОРТ</v>
      </c>
      <c r="AH100" t="str">
        <f ca="1">IFERROR(__xludf.DUMMYFUNCTION("""COMPUTED_VALUE"""),"30.05.21 10-30")</f>
        <v>30.05.21 10-30</v>
      </c>
      <c r="AI100" s="21">
        <f ca="1">IFERROR(__xludf.DUMMYFUNCTION("""COMPUTED_VALUE"""),44420.357662037)</f>
        <v>44420.357662037</v>
      </c>
    </row>
    <row r="101" spans="1:35" ht="13" x14ac:dyDescent="0.15">
      <c r="A101">
        <f ca="1">IFERROR(__xludf.DUMMYFUNCTION("""COMPUTED_VALUE"""),291)</f>
        <v>291</v>
      </c>
      <c r="B101" t="str">
        <f ca="1">IFERROR(__xludf.DUMMYFUNCTION("""COMPUTED_VALUE"""),"Кнауф")</f>
        <v>Кнауф</v>
      </c>
      <c r="C101" t="str">
        <f ca="1">IFERROR(__xludf.DUMMYFUNCTION("""COMPUTED_VALUE"""),"ТТГ")</f>
        <v>ТТГ</v>
      </c>
      <c r="D101">
        <f ca="1">IFERROR(__xludf.DUMMYFUNCTION("""COMPUTED_VALUE"""),52592227)</f>
        <v>52592227</v>
      </c>
      <c r="E101" t="str">
        <f ca="1">IFERROR(__xludf.DUMMYFUNCTION("""COMPUTED_VALUE"""),"20 КРЫТЫЕ")</f>
        <v>20 КРЫТЫЕ</v>
      </c>
      <c r="F101">
        <f ca="1">IFERROR(__xludf.DUMMYFUNCTION("""COMPUTED_VALUE"""),28114)</f>
        <v>28114</v>
      </c>
      <c r="G101" t="str">
        <f ca="1">IFERROR(__xludf.DUMMYFUNCTION("""COMPUTED_VALUE"""),"ЦЕМЕНТ ПР")</f>
        <v>ЦЕМЕНТ ПР</v>
      </c>
      <c r="H101">
        <f ca="1">IFERROR(__xludf.DUMMYFUNCTION("""COMPUTED_VALUE"""),68)</f>
        <v>68</v>
      </c>
      <c r="I101">
        <f ca="1">IFERROR(__xludf.DUMMYFUNCTION("""COMPUTED_VALUE"""),1494)</f>
        <v>1494</v>
      </c>
      <c r="J101" t="str">
        <f ca="1">IFERROR(__xludf.DUMMYFUNCTION("""COMPUTED_VALUE"""),"2325 (38840-160-37000) ИВАНО-ФРАНК - ЛЬВОВ")</f>
        <v>2325 (38840-160-37000) ИВАНО-ФРАНК - ЛЬВОВ</v>
      </c>
      <c r="K101">
        <f ca="1">IFERROR(__xludf.DUMMYFUNCTION("""COMPUTED_VALUE"""),37910)</f>
        <v>37910</v>
      </c>
      <c r="L101" t="str">
        <f ca="1">IFERROR(__xludf.DUMMYFUNCTION("""COMPUTED_VALUE"""),"ХОДОРОВ")</f>
        <v>ХОДОРОВ</v>
      </c>
      <c r="M101" t="str">
        <f ca="1">IFERROR(__xludf.DUMMYFUNCTION("""COMPUTED_VALUE"""),"12.08.21 02-21")</f>
        <v>12.08.21 02-21</v>
      </c>
      <c r="N101" t="str">
        <f ca="1">IFERROR(__xludf.DUMMYFUNCTION("""COMPUTED_VALUE"""),"31 ПРИБ")</f>
        <v>31 ПРИБ</v>
      </c>
      <c r="O101">
        <f ca="1">IFERROR(__xludf.DUMMYFUNCTION("""COMPUTED_VALUE"""),44050)</f>
        <v>44050</v>
      </c>
      <c r="P101" t="str">
        <f ca="1">IFERROR(__xludf.DUMMYFUNCTION("""COMPUTED_VALUE"""),"ХАРЬКОВ-БАЛ")</f>
        <v>ХАРЬКОВ-БАЛ</v>
      </c>
      <c r="Q101">
        <f ca="1">IFERROR(__xludf.DUMMYFUNCTION("""COMPUTED_VALUE"""),38830)</f>
        <v>38830</v>
      </c>
      <c r="R101" t="str">
        <f ca="1">IFERROR(__xludf.DUMMYFUNCTION("""COMPUTED_VALUE"""),"ЯМНИЦА")</f>
        <v>ЯМНИЦА</v>
      </c>
      <c r="S101" t="str">
        <f ca="1">IFERROR(__xludf.DUMMYFUNCTION("""COMPUTED_VALUE"""),"07.08.21 10-25")</f>
        <v>07.08.21 10-25</v>
      </c>
      <c r="T101">
        <f ca="1">IFERROR(__xludf.DUMMYFUNCTION("""COMPUTED_VALUE"""),8199)</f>
        <v>8199</v>
      </c>
      <c r="U101" t="str">
        <f ca="1">IFERROR(__xludf.DUMMYFUNCTION("""COMPUTED_VALUE"""),"20.05.2024 ДР")</f>
        <v>20.05.2024 ДР</v>
      </c>
      <c r="Z101" t="str">
        <f ca="1">IFERROR(__xludf.DUMMYFUNCTION("""COMPUTED_VALUE"""),"ООО «БОРВИЙТРАНС»")</f>
        <v>ООО «БОРВИЙТРАНС»</v>
      </c>
      <c r="AA101" t="str">
        <f ca="1">IFERROR(__xludf.DUMMYFUNCTION("""COMPUTED_VALUE"""),"11-270")</f>
        <v>11-270</v>
      </c>
      <c r="AB101" t="str">
        <f ca="1">IFERROR(__xludf.DUMMYFUNCTION("""COMPUTED_VALUE"""),"43 ЮЖН")</f>
        <v>43 ЮЖН</v>
      </c>
      <c r="AC101" t="str">
        <f ca="1">IFERROR(__xludf.DUMMYFUNCTION("""COMPUTED_VALUE"""),"42500 КРЕМЕНЧУГ")</f>
        <v>42500 КРЕМЕНЧУГ</v>
      </c>
      <c r="AD101" t="str">
        <f ca="1">IFERROR(__xludf.DUMMYFUNCTION("""COMPUTED_VALUE"""),"11.05.21 11-00")</f>
        <v>11.05.21 11-00</v>
      </c>
      <c r="AE101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101" t="str">
        <f ca="1">IFERROR(__xludf.DUMMYFUNCTION("""COMPUTED_VALUE"""),"43 ЮЖН")</f>
        <v>43 ЮЖН</v>
      </c>
      <c r="AG101" t="str">
        <f ca="1">IFERROR(__xludf.DUMMYFUNCTION("""COMPUTED_VALUE"""),"42500 КРЕМЕНЧУГ")</f>
        <v>42500 КРЕМЕНЧУГ</v>
      </c>
      <c r="AH101" t="str">
        <f ca="1">IFERROR(__xludf.DUMMYFUNCTION("""COMPUTED_VALUE"""),"20.05.21 14-00")</f>
        <v>20.05.21 14-00</v>
      </c>
      <c r="AI101" s="21">
        <f ca="1">IFERROR(__xludf.DUMMYFUNCTION("""COMPUTED_VALUE"""),44420.357662037)</f>
        <v>44420.357662037</v>
      </c>
    </row>
    <row r="102" spans="1:35" ht="13" x14ac:dyDescent="0.15">
      <c r="A102">
        <f ca="1">IFERROR(__xludf.DUMMYFUNCTION("""COMPUTED_VALUE"""),292)</f>
        <v>292</v>
      </c>
      <c r="B102" t="str">
        <f ca="1">IFERROR(__xludf.DUMMYFUNCTION("""COMPUTED_VALUE"""),"ТЛГ")</f>
        <v>ТЛГ</v>
      </c>
      <c r="C102" t="str">
        <f ca="1">IFERROR(__xludf.DUMMYFUNCTION("""COMPUTED_VALUE"""),"Керрилайн 60 РФ")</f>
        <v>Керрилайн 60 РФ</v>
      </c>
      <c r="D102">
        <f ca="1">IFERROR(__xludf.DUMMYFUNCTION("""COMPUTED_VALUE"""),52702024)</f>
        <v>52702024</v>
      </c>
      <c r="E102" t="str">
        <f ca="1">IFERROR(__xludf.DUMMYFUNCTION("""COMPUTED_VALUE"""),"20 КРЫТЫЕ")</f>
        <v>20 КРЫТЫЕ</v>
      </c>
      <c r="F102">
        <f ca="1">IFERROR(__xludf.DUMMYFUNCTION("""COMPUTED_VALUE"""),42116)</f>
        <v>42116</v>
      </c>
      <c r="G102" t="str">
        <f ca="1">IFERROR(__xludf.DUMMYFUNCTION("""COMPUTED_VALUE"""),"ВАГОН ДЛЯ ПРОВО")</f>
        <v>ВАГОН ДЛЯ ПРОВО</v>
      </c>
      <c r="H102">
        <f ca="1">IFERROR(__xludf.DUMMYFUNCTION("""COMPUTED_VALUE"""),1)</f>
        <v>1</v>
      </c>
      <c r="I102">
        <f ca="1">IFERROR(__xludf.DUMMYFUNCTION("""COMPUTED_VALUE"""),1185)</f>
        <v>1185</v>
      </c>
      <c r="J102" t="str">
        <f ca="1">IFERROR(__xludf.DUMMYFUNCTION("""COMPUTED_VALUE"""),"9589 (46600-018-40250) НИКОПОЛЬ - ПАРОМНАЯ")</f>
        <v>9589 (46600-018-40250) НИКОПОЛЬ - ПАРОМНАЯ</v>
      </c>
      <c r="K102">
        <f ca="1">IFERROR(__xludf.DUMMYFUNCTION("""COMPUTED_VALUE"""),46700)</f>
        <v>46700</v>
      </c>
      <c r="L102" t="str">
        <f ca="1">IFERROR(__xludf.DUMMYFUNCTION("""COMPUTED_VALUE"""),"КРИВ.РОГ-ГЛА")</f>
        <v>КРИВ.РОГ-ГЛА</v>
      </c>
      <c r="M102" t="str">
        <f ca="1">IFERROR(__xludf.DUMMYFUNCTION("""COMPUTED_VALUE"""),"12.08.21 07-42")</f>
        <v>12.08.21 07-42</v>
      </c>
      <c r="N102" t="str">
        <f ca="1">IFERROR(__xludf.DUMMYFUNCTION("""COMPUTED_VALUE"""),"01 ПРИБ")</f>
        <v>01 ПРИБ</v>
      </c>
      <c r="O102">
        <f ca="1">IFERROR(__xludf.DUMMYFUNCTION("""COMPUTED_VALUE"""),40250)</f>
        <v>40250</v>
      </c>
      <c r="P102" t="str">
        <f ca="1">IFERROR(__xludf.DUMMYFUNCTION("""COMPUTED_VALUE"""),"ПАРОМНАЯ")</f>
        <v>ПАРОМНАЯ</v>
      </c>
      <c r="Q102">
        <f ca="1">IFERROR(__xludf.DUMMYFUNCTION("""COMPUTED_VALUE"""),46600)</f>
        <v>46600</v>
      </c>
      <c r="R102" t="str">
        <f ca="1">IFERROR(__xludf.DUMMYFUNCTION("""COMPUTED_VALUE"""),"НИКОПОЛЬ")</f>
        <v>НИКОПОЛЬ</v>
      </c>
      <c r="S102" t="str">
        <f ca="1">IFERROR(__xludf.DUMMYFUNCTION("""COMPUTED_VALUE"""),"11.08.21 15-50")</f>
        <v>11.08.21 15-50</v>
      </c>
      <c r="T102">
        <f ca="1">IFERROR(__xludf.DUMMYFUNCTION("""COMPUTED_VALUE"""),3925)</f>
        <v>3925</v>
      </c>
      <c r="U102" t="str">
        <f ca="1">IFERROR(__xludf.DUMMYFUNCTION("""COMPUTED_VALUE"""),"28.11.2023 ТР-1")</f>
        <v>28.11.2023 ТР-1</v>
      </c>
      <c r="Z102" t="str">
        <f ca="1">IFERROR(__xludf.DUMMYFUNCTION("""COMPUTED_VALUE"""),"ООО «КЕРРИЛАЙН»")</f>
        <v>ООО «КЕРРИЛАЙН»</v>
      </c>
      <c r="AA102" t="str">
        <f ca="1">IFERROR(__xludf.DUMMYFUNCTION("""COMPUTED_VALUE"""),"11-274")</f>
        <v>11-274</v>
      </c>
      <c r="AB102" t="str">
        <f ca="1">IFERROR(__xludf.DUMMYFUNCTION("""COMPUTED_VALUE"""),"48 ДОН")</f>
        <v>48 ДОН</v>
      </c>
      <c r="AC102" t="str">
        <f ca="1">IFERROR(__xludf.DUMMYFUNCTION("""COMPUTED_VALUE"""),"49200 СЛАВЯНСК")</f>
        <v>49200 СЛАВЯНСК</v>
      </c>
      <c r="AD102" t="str">
        <f ca="1">IFERROR(__xludf.DUMMYFUNCTION("""COMPUTED_VALUE"""),"04.06.21 21-07")</f>
        <v>04.06.21 21-07</v>
      </c>
      <c r="AE102" t="str">
        <f ca="1">IFERROR(__xludf.DUMMYFUNCTION("""COMPUTED_VALUE"""),"570 ИCТEК КAЛЕНДАРНЫЙ CPOК ДEПOВCКОГО PEМOНТA")</f>
        <v>570 ИCТEК КAЛЕНДАРНЫЙ CPOК ДEПOВCКОГО PEМOНТA</v>
      </c>
      <c r="AF102" t="str">
        <f ca="1">IFERROR(__xludf.DUMMYFUNCTION("""COMPUTED_VALUE"""),"48 ДОН")</f>
        <v>48 ДОН</v>
      </c>
      <c r="AG102" t="str">
        <f ca="1">IFERROR(__xludf.DUMMYFUNCTION("""COMPUTED_VALUE"""),"49200 СЛАВЯНСК")</f>
        <v>49200 СЛАВЯНСК</v>
      </c>
      <c r="AH102" t="str">
        <f ca="1">IFERROR(__xludf.DUMMYFUNCTION("""COMPUTED_VALUE"""),"09.06.21 16-00")</f>
        <v>09.06.21 16-00</v>
      </c>
      <c r="AI102" s="21">
        <f ca="1">IFERROR(__xludf.DUMMYFUNCTION("""COMPUTED_VALUE"""),44420.357662037)</f>
        <v>44420.357662037</v>
      </c>
    </row>
    <row r="103" spans="1:35" ht="13" x14ac:dyDescent="0.15">
      <c r="A103">
        <f ca="1">IFERROR(__xludf.DUMMYFUNCTION("""COMPUTED_VALUE"""),293)</f>
        <v>293</v>
      </c>
      <c r="B103" t="str">
        <f ca="1">IFERROR(__xludf.DUMMYFUNCTION("""COMPUTED_VALUE"""),"ТЛГ")</f>
        <v>ТЛГ</v>
      </c>
      <c r="C103" t="str">
        <f ca="1">IFERROR(__xludf.DUMMYFUNCTION("""COMPUTED_VALUE"""),"Керрилайн 60 РФ")</f>
        <v>Керрилайн 60 РФ</v>
      </c>
      <c r="D103">
        <f ca="1">IFERROR(__xludf.DUMMYFUNCTION("""COMPUTED_VALUE"""),52701869)</f>
        <v>52701869</v>
      </c>
      <c r="E103" t="str">
        <f ca="1">IFERROR(__xludf.DUMMYFUNCTION("""COMPUTED_VALUE"""),"20 КРЫТЫЕ")</f>
        <v>20 КРЫТЫЕ</v>
      </c>
      <c r="F103">
        <f ca="1">IFERROR(__xludf.DUMMYFUNCTION("""COMPUTED_VALUE"""),42116)</f>
        <v>42116</v>
      </c>
      <c r="G103" t="str">
        <f ca="1">IFERROR(__xludf.DUMMYFUNCTION("""COMPUTED_VALUE"""),"ВАГОН ДЛЯ ПРОВО")</f>
        <v>ВАГОН ДЛЯ ПРОВО</v>
      </c>
      <c r="H103">
        <f ca="1">IFERROR(__xludf.DUMMYFUNCTION("""COMPUTED_VALUE"""),1)</f>
        <v>1</v>
      </c>
      <c r="I103">
        <f ca="1">IFERROR(__xludf.DUMMYFUNCTION("""COMPUTED_VALUE"""),1185)</f>
        <v>1185</v>
      </c>
      <c r="J103" t="str">
        <f ca="1">IFERROR(__xludf.DUMMYFUNCTION("""COMPUTED_VALUE"""),"1187 (46600-011-40000) НИКОПОЛЬ - ОДЕССА-СОРТ")</f>
        <v>1187 (46600-011-40000) НИКОПОЛЬ - ОДЕССА-СОРТ</v>
      </c>
      <c r="K103">
        <f ca="1">IFERROR(__xludf.DUMMYFUNCTION("""COMPUTED_VALUE"""),41292)</f>
        <v>41292</v>
      </c>
      <c r="L103" t="str">
        <f ca="1">IFERROR(__xludf.DUMMYFUNCTION("""COMPUTED_VALUE"""),"П 1141 КМ")</f>
        <v>П 1141 КМ</v>
      </c>
      <c r="M103" t="str">
        <f ca="1">IFERROR(__xludf.DUMMYFUNCTION("""COMPUTED_VALUE"""),"12.08.21 08-15")</f>
        <v>12.08.21 08-15</v>
      </c>
      <c r="N103" t="str">
        <f ca="1">IFERROR(__xludf.DUMMYFUNCTION("""COMPUTED_VALUE"""),"03 ПРОС")</f>
        <v>03 ПРОС</v>
      </c>
      <c r="O103">
        <f ca="1">IFERROR(__xludf.DUMMYFUNCTION("""COMPUTED_VALUE"""),40250)</f>
        <v>40250</v>
      </c>
      <c r="P103" t="str">
        <f ca="1">IFERROR(__xludf.DUMMYFUNCTION("""COMPUTED_VALUE"""),"ПАРОМНАЯ")</f>
        <v>ПАРОМНАЯ</v>
      </c>
      <c r="Q103">
        <f ca="1">IFERROR(__xludf.DUMMYFUNCTION("""COMPUTED_VALUE"""),46600)</f>
        <v>46600</v>
      </c>
      <c r="R103" t="str">
        <f ca="1">IFERROR(__xludf.DUMMYFUNCTION("""COMPUTED_VALUE"""),"НИКОПОЛЬ")</f>
        <v>НИКОПОЛЬ</v>
      </c>
      <c r="S103" t="str">
        <f ca="1">IFERROR(__xludf.DUMMYFUNCTION("""COMPUTED_VALUE"""),"11.08.21 02-30")</f>
        <v>11.08.21 02-30</v>
      </c>
      <c r="T103">
        <f ca="1">IFERROR(__xludf.DUMMYFUNCTION("""COMPUTED_VALUE"""),3925)</f>
        <v>3925</v>
      </c>
      <c r="U103" t="str">
        <f ca="1">IFERROR(__xludf.DUMMYFUNCTION("""COMPUTED_VALUE"""),"19.09.2023 ТР-1")</f>
        <v>19.09.2023 ТР-1</v>
      </c>
      <c r="Z103" t="str">
        <f ca="1">IFERROR(__xludf.DUMMYFUNCTION("""COMPUTED_VALUE"""),"ООО «КЕРРИЛАЙН»")</f>
        <v>ООО «КЕРРИЛАЙН»</v>
      </c>
      <c r="AA103" t="str">
        <f ca="1">IFERROR(__xludf.DUMMYFUNCTION("""COMPUTED_VALUE"""),"11-274")</f>
        <v>11-274</v>
      </c>
      <c r="AB103" t="str">
        <f ca="1">IFERROR(__xludf.DUMMYFUNCTION("""COMPUTED_VALUE"""),"48 ДОН")</f>
        <v>48 ДОН</v>
      </c>
      <c r="AC103" t="str">
        <f ca="1">IFERROR(__xludf.DUMMYFUNCTION("""COMPUTED_VALUE"""),"49200 СЛАВЯНСК")</f>
        <v>49200 СЛАВЯНСК</v>
      </c>
      <c r="AD103" t="str">
        <f ca="1">IFERROR(__xludf.DUMMYFUNCTION("""COMPUTED_VALUE"""),"15.06.21 21-00")</f>
        <v>15.06.21 21-00</v>
      </c>
      <c r="AE103" t="str">
        <f ca="1">IFERROR(__xludf.DUMMYFUNCTION("""COMPUTED_VALUE"""),"570 ИCТEК КAЛЕНДАРНЫЙ CPOК ДEПOВCКОГО PEМOНТA")</f>
        <v>570 ИCТEК КAЛЕНДАРНЫЙ CPOК ДEПOВCКОГО PEМOНТA</v>
      </c>
      <c r="AF103" t="str">
        <f ca="1">IFERROR(__xludf.DUMMYFUNCTION("""COMPUTED_VALUE"""),"48 ДОН")</f>
        <v>48 ДОН</v>
      </c>
      <c r="AG103" t="str">
        <f ca="1">IFERROR(__xludf.DUMMYFUNCTION("""COMPUTED_VALUE"""),"49200 СЛАВЯНСК")</f>
        <v>49200 СЛАВЯНСК</v>
      </c>
      <c r="AH103" t="str">
        <f ca="1">IFERROR(__xludf.DUMMYFUNCTION("""COMPUTED_VALUE"""),"29.06.21 10-00")</f>
        <v>29.06.21 10-00</v>
      </c>
      <c r="AI103" s="21">
        <f ca="1">IFERROR(__xludf.DUMMYFUNCTION("""COMPUTED_VALUE"""),44420.357662037)</f>
        <v>44420.357662037</v>
      </c>
    </row>
    <row r="104" spans="1:35" ht="13" x14ac:dyDescent="0.15">
      <c r="A104">
        <f ca="1">IFERROR(__xludf.DUMMYFUNCTION("""COMPUTED_VALUE"""),294)</f>
        <v>294</v>
      </c>
      <c r="B104" t="str">
        <f ca="1">IFERROR(__xludf.DUMMYFUNCTION("""COMPUTED_VALUE"""),"ТЛГ")</f>
        <v>ТЛГ</v>
      </c>
      <c r="C104" t="str">
        <f ca="1">IFERROR(__xludf.DUMMYFUNCTION("""COMPUTED_VALUE"""),"Керрилайн 60 РФ")</f>
        <v>Керрилайн 60 РФ</v>
      </c>
      <c r="D104">
        <f ca="1">IFERROR(__xludf.DUMMYFUNCTION("""COMPUTED_VALUE"""),52701141)</f>
        <v>52701141</v>
      </c>
      <c r="E104" t="str">
        <f ca="1">IFERROR(__xludf.DUMMYFUNCTION("""COMPUTED_VALUE"""),"20 КРЫТЫЕ")</f>
        <v>20 КРЫТЫЕ</v>
      </c>
      <c r="F104">
        <f ca="1">IFERROR(__xludf.DUMMYFUNCTION("""COMPUTED_VALUE"""),42103)</f>
        <v>42103</v>
      </c>
      <c r="G104" t="str">
        <f ca="1">IFERROR(__xludf.DUMMYFUNCTION("""COMPUTED_VALUE"""),"ВАГОНЫ ЖД СВ")</f>
        <v>ВАГОНЫ ЖД СВ</v>
      </c>
      <c r="H104">
        <f ca="1">IFERROR(__xludf.DUMMYFUNCTION("""COMPUTED_VALUE"""),0)</f>
        <v>0</v>
      </c>
      <c r="I104">
        <f ca="1">IFERROR(__xludf.DUMMYFUNCTION("""COMPUTED_VALUE"""),3925)</f>
        <v>3925</v>
      </c>
      <c r="J104" t="str">
        <f ca="1">IFERROR(__xludf.DUMMYFUNCTION("""COMPUTED_VALUE"""),"2723 (46000-313-46600) ЗАПОРОЖ-ЛЕВ - НИКОПОЛЬ")</f>
        <v>2723 (46000-313-46600) ЗАПОРОЖ-ЛЕВ - НИКОПОЛЬ</v>
      </c>
      <c r="K104">
        <f ca="1">IFERROR(__xludf.DUMMYFUNCTION("""COMPUTED_VALUE"""),46600)</f>
        <v>46600</v>
      </c>
      <c r="L104" t="str">
        <f ca="1">IFERROR(__xludf.DUMMYFUNCTION("""COMPUTED_VALUE"""),"НИКОПОЛЬ")</f>
        <v>НИКОПОЛЬ</v>
      </c>
      <c r="M104" t="str">
        <f ca="1">IFERROR(__xludf.DUMMYFUNCTION("""COMPUTED_VALUE"""),"07.08.21 12-50")</f>
        <v>07.08.21 12-50</v>
      </c>
      <c r="N104" t="str">
        <f ca="1">IFERROR(__xludf.DUMMYFUNCTION("""COMPUTED_VALUE"""),"98 ОТОТ")</f>
        <v>98 ОТОТ</v>
      </c>
      <c r="O104">
        <f ca="1">IFERROR(__xludf.DUMMYFUNCTION("""COMPUTED_VALUE"""),46600)</f>
        <v>46600</v>
      </c>
      <c r="P104" t="str">
        <f ca="1">IFERROR(__xludf.DUMMYFUNCTION("""COMPUTED_VALUE"""),"НИКОПОЛЬ")</f>
        <v>НИКОПОЛЬ</v>
      </c>
      <c r="Q104">
        <f ca="1">IFERROR(__xludf.DUMMYFUNCTION("""COMPUTED_VALUE"""),48560)</f>
        <v>48560</v>
      </c>
      <c r="R104" t="str">
        <f ca="1">IFERROR(__xludf.DUMMYFUNCTION("""COMPUTED_VALUE"""),"МАРИУП-СОРТ")</f>
        <v>МАРИУП-СОРТ</v>
      </c>
      <c r="S104" t="str">
        <f ca="1">IFERROR(__xludf.DUMMYFUNCTION("""COMPUTED_VALUE"""),"01.08.21 09-12")</f>
        <v>01.08.21 09-12</v>
      </c>
      <c r="T104">
        <f ca="1">IFERROR(__xludf.DUMMYFUNCTION("""COMPUTED_VALUE"""),3134)</f>
        <v>3134</v>
      </c>
      <c r="U104" t="str">
        <f ca="1">IFERROR(__xludf.DUMMYFUNCTION("""COMPUTED_VALUE"""),"21.06.2024 КР")</f>
        <v>21.06.2024 КР</v>
      </c>
      <c r="Z104" t="str">
        <f ca="1">IFERROR(__xludf.DUMMYFUNCTION("""COMPUTED_VALUE"""),"ООО «КЕРРИЛАЙН»")</f>
        <v>ООО «КЕРРИЛАЙН»</v>
      </c>
      <c r="AA104" t="str">
        <f ca="1">IFERROR(__xludf.DUMMYFUNCTION("""COMPUTED_VALUE"""),"11-274")</f>
        <v>11-274</v>
      </c>
      <c r="AB104" t="str">
        <f ca="1">IFERROR(__xludf.DUMMYFUNCTION("""COMPUTED_VALUE"""),"48 ДОН")</f>
        <v>48 ДОН</v>
      </c>
      <c r="AC104" t="str">
        <f ca="1">IFERROR(__xludf.DUMMYFUNCTION("""COMPUTED_VALUE"""),"49200 СЛАВЯНСК")</f>
        <v>49200 СЛАВЯНСК</v>
      </c>
      <c r="AD104" t="str">
        <f ca="1">IFERROR(__xludf.DUMMYFUNCTION("""COMPUTED_VALUE"""),"14.06.21 12-10")</f>
        <v>14.06.21 12-10</v>
      </c>
      <c r="AE104" t="str">
        <f ca="1">IFERROR(__xludf.DUMMYFUNCTION("""COMPUTED_VALUE"""),"570 ИCТEК КAЛЕНДАРНЫЙ CPOК ДEПOВCКОГО PEМOНТA")</f>
        <v>570 ИCТEК КAЛЕНДАРНЫЙ CPOК ДEПOВCКОГО PEМOНТA</v>
      </c>
      <c r="AF104" t="str">
        <f ca="1">IFERROR(__xludf.DUMMYFUNCTION("""COMPUTED_VALUE"""),"48 ДОН")</f>
        <v>48 ДОН</v>
      </c>
      <c r="AG104" t="str">
        <f ca="1">IFERROR(__xludf.DUMMYFUNCTION("""COMPUTED_VALUE"""),"49200 СЛАВЯНСК")</f>
        <v>49200 СЛАВЯНСК</v>
      </c>
      <c r="AH104" t="str">
        <f ca="1">IFERROR(__xludf.DUMMYFUNCTION("""COMPUTED_VALUE"""),"21.06.21 12-00")</f>
        <v>21.06.21 12-00</v>
      </c>
      <c r="AI104" s="21">
        <f ca="1">IFERROR(__xludf.DUMMYFUNCTION("""COMPUTED_VALUE"""),44420.357662037)</f>
        <v>44420.357662037</v>
      </c>
    </row>
    <row r="105" spans="1:35" ht="13" x14ac:dyDescent="0.15">
      <c r="A105">
        <f ca="1">IFERROR(__xludf.DUMMYFUNCTION("""COMPUTED_VALUE"""),295)</f>
        <v>295</v>
      </c>
      <c r="B105" t="str">
        <f ca="1">IFERROR(__xludf.DUMMYFUNCTION("""COMPUTED_VALUE"""),"ТЛГ")</f>
        <v>ТЛГ</v>
      </c>
      <c r="C105" t="str">
        <f ca="1">IFERROR(__xludf.DUMMYFUNCTION("""COMPUTED_VALUE"""),"Керрилайн 60 РФ")</f>
        <v>Керрилайн 60 РФ</v>
      </c>
      <c r="D105">
        <f ca="1">IFERROR(__xludf.DUMMYFUNCTION("""COMPUTED_VALUE"""),52701067)</f>
        <v>52701067</v>
      </c>
      <c r="E105" t="str">
        <f ca="1">IFERROR(__xludf.DUMMYFUNCTION("""COMPUTED_VALUE"""),"20 КРЫТЫЕ")</f>
        <v>20 КРЫТЫЕ</v>
      </c>
      <c r="F105">
        <f ca="1">IFERROR(__xludf.DUMMYFUNCTION("""COMPUTED_VALUE"""),42103)</f>
        <v>42103</v>
      </c>
      <c r="G105" t="str">
        <f ca="1">IFERROR(__xludf.DUMMYFUNCTION("""COMPUTED_VALUE"""),"ВАГОНЫ ЖД СВ")</f>
        <v>ВАГОНЫ ЖД СВ</v>
      </c>
      <c r="H105">
        <f ca="1">IFERROR(__xludf.DUMMYFUNCTION("""COMPUTED_VALUE"""),0)</f>
        <v>0</v>
      </c>
      <c r="I105">
        <f ca="1">IFERROR(__xludf.DUMMYFUNCTION("""COMPUTED_VALUE"""),3925)</f>
        <v>3925</v>
      </c>
      <c r="J105" t="str">
        <f ca="1">IFERROR(__xludf.DUMMYFUNCTION("""COMPUTED_VALUE"""),"2001 (41000-550-46710) ЗНАМЕНКА - КРИВ.РОГ-СОР")</f>
        <v>2001 (41000-550-46710) ЗНАМЕНКА - КРИВ.РОГ-СОР</v>
      </c>
      <c r="K105">
        <f ca="1">IFERROR(__xludf.DUMMYFUNCTION("""COMPUTED_VALUE"""),41000)</f>
        <v>41000</v>
      </c>
      <c r="L105" t="str">
        <f ca="1">IFERROR(__xludf.DUMMYFUNCTION("""COMPUTED_VALUE"""),"ЗНАМЕНКА")</f>
        <v>ЗНАМЕНКА</v>
      </c>
      <c r="M105" t="str">
        <f ca="1">IFERROR(__xludf.DUMMYFUNCTION("""COMPUTED_VALUE"""),"12.08.21 03-57")</f>
        <v>12.08.21 03-57</v>
      </c>
      <c r="N105" t="str">
        <f ca="1">IFERROR(__xludf.DUMMYFUNCTION("""COMPUTED_VALUE"""),"05 ФОРМ")</f>
        <v>05 ФОРМ</v>
      </c>
      <c r="O105">
        <f ca="1">IFERROR(__xludf.DUMMYFUNCTION("""COMPUTED_VALUE"""),46600)</f>
        <v>46600</v>
      </c>
      <c r="P105" t="str">
        <f ca="1">IFERROR(__xludf.DUMMYFUNCTION("""COMPUTED_VALUE"""),"НИКОПОЛЬ")</f>
        <v>НИКОПОЛЬ</v>
      </c>
      <c r="Q105">
        <f ca="1">IFERROR(__xludf.DUMMYFUNCTION("""COMPUTED_VALUE"""),34630)</f>
        <v>34630</v>
      </c>
      <c r="R105" t="str">
        <f ca="1">IFERROR(__xludf.DUMMYFUNCTION("""COMPUTED_VALUE"""),"КОРОСТЕНЬ")</f>
        <v>КОРОСТЕНЬ</v>
      </c>
      <c r="S105" t="str">
        <f ca="1">IFERROR(__xludf.DUMMYFUNCTION("""COMPUTED_VALUE"""),"20.07.21 18-00")</f>
        <v>20.07.21 18-00</v>
      </c>
      <c r="T105">
        <f ca="1">IFERROR(__xludf.DUMMYFUNCTION("""COMPUTED_VALUE"""),8331)</f>
        <v>8331</v>
      </c>
      <c r="U105" t="str">
        <f ca="1">IFERROR(__xludf.DUMMYFUNCTION("""COMPUTED_VALUE"""),"25.06.2024 КР")</f>
        <v>25.06.2024 КР</v>
      </c>
      <c r="Z105" t="str">
        <f ca="1">IFERROR(__xludf.DUMMYFUNCTION("""COMPUTED_VALUE"""),"ООО «КЕРРИЛАЙН»")</f>
        <v>ООО «КЕРРИЛАЙН»</v>
      </c>
      <c r="AA105" t="str">
        <f ca="1">IFERROR(__xludf.DUMMYFUNCTION("""COMPUTED_VALUE"""),"11-274")</f>
        <v>11-274</v>
      </c>
      <c r="AB105" t="str">
        <f ca="1">IFERROR(__xludf.DUMMYFUNCTION("""COMPUTED_VALUE"""),"48 ДОН")</f>
        <v>48 ДОН</v>
      </c>
      <c r="AC105" t="str">
        <f ca="1">IFERROR(__xludf.DUMMYFUNCTION("""COMPUTED_VALUE"""),"49200 СЛАВЯНСК")</f>
        <v>49200 СЛАВЯНСК</v>
      </c>
      <c r="AD105" t="str">
        <f ca="1">IFERROR(__xludf.DUMMYFUNCTION("""COMPUTED_VALUE"""),"13.06.21 04-31")</f>
        <v>13.06.21 04-31</v>
      </c>
      <c r="AE105" t="str">
        <f ca="1">IFERROR(__xludf.DUMMYFUNCTION("""COMPUTED_VALUE"""),"570 ИCТEК КAЛЕНДАРНЫЙ CPOК ДEПOВCКОГО PEМOНТA")</f>
        <v>570 ИCТEК КAЛЕНДАРНЫЙ CPOК ДEПOВCКОГО PEМOНТA</v>
      </c>
      <c r="AF105" t="str">
        <f ca="1">IFERROR(__xludf.DUMMYFUNCTION("""COMPUTED_VALUE"""),"48 ДОН")</f>
        <v>48 ДОН</v>
      </c>
      <c r="AG105" t="str">
        <f ca="1">IFERROR(__xludf.DUMMYFUNCTION("""COMPUTED_VALUE"""),"49200 СЛАВЯНСК")</f>
        <v>49200 СЛАВЯНСК</v>
      </c>
      <c r="AH105" t="str">
        <f ca="1">IFERROR(__xludf.DUMMYFUNCTION("""COMPUTED_VALUE"""),"25.06.21 16-00")</f>
        <v>25.06.21 16-00</v>
      </c>
      <c r="AI105" s="21">
        <f ca="1">IFERROR(__xludf.DUMMYFUNCTION("""COMPUTED_VALUE"""),44420.357662037)</f>
        <v>44420.357662037</v>
      </c>
    </row>
    <row r="106" spans="1:35" ht="13" x14ac:dyDescent="0.15">
      <c r="A106">
        <f ca="1">IFERROR(__xludf.DUMMYFUNCTION("""COMPUTED_VALUE"""),296)</f>
        <v>296</v>
      </c>
      <c r="B106" t="str">
        <f ca="1">IFERROR(__xludf.DUMMYFUNCTION("""COMPUTED_VALUE"""),"Руссоль")</f>
        <v>Руссоль</v>
      </c>
      <c r="C106" t="str">
        <f ca="1">IFERROR(__xludf.DUMMYFUNCTION("""COMPUTED_VALUE"""),"Керрилайн РФ")</f>
        <v>Керрилайн РФ</v>
      </c>
      <c r="D106">
        <f ca="1">IFERROR(__xludf.DUMMYFUNCTION("""COMPUTED_VALUE"""),52143153)</f>
        <v>52143153</v>
      </c>
      <c r="E106" t="str">
        <f ca="1">IFERROR(__xludf.DUMMYFUNCTION("""COMPUTED_VALUE"""),"28 КРЫТЫЕ_138")</f>
        <v>28 КРЫТЫЕ_138</v>
      </c>
      <c r="F106">
        <f ca="1">IFERROR(__xludf.DUMMYFUNCTION("""COMPUTED_VALUE"""),42103)</f>
        <v>42103</v>
      </c>
      <c r="G106" t="str">
        <f ca="1">IFERROR(__xludf.DUMMYFUNCTION("""COMPUTED_VALUE"""),"ВАГОНЫ ЖД СВ")</f>
        <v>ВАГОНЫ ЖД СВ</v>
      </c>
      <c r="H106">
        <f ca="1">IFERROR(__xludf.DUMMYFUNCTION("""COMPUTED_VALUE"""),0)</f>
        <v>0</v>
      </c>
      <c r="I106">
        <f ca="1">IFERROR(__xludf.DUMMYFUNCTION("""COMPUTED_VALUE"""),8199)</f>
        <v>8199</v>
      </c>
      <c r="J106" t="str">
        <f ca="1">IFERROR(__xludf.DUMMYFUNCTION("""COMPUTED_VALUE"""),"3501 (33580-013-33000) ВИННИЦА - ЖМЕРИНКА")</f>
        <v>3501 (33580-013-33000) ВИННИЦА - ЖМЕРИНКА</v>
      </c>
      <c r="K106">
        <f ca="1">IFERROR(__xludf.DUMMYFUNCTION("""COMPUTED_VALUE"""),33000)</f>
        <v>33000</v>
      </c>
      <c r="L106" t="str">
        <f ca="1">IFERROR(__xludf.DUMMYFUNCTION("""COMPUTED_VALUE"""),"ЖМЕРИНКА")</f>
        <v>ЖМЕРИНКА</v>
      </c>
      <c r="M106" t="str">
        <f ca="1">IFERROR(__xludf.DUMMYFUNCTION("""COMPUTED_VALUE"""),"11.08.21 19-35")</f>
        <v>11.08.21 19-35</v>
      </c>
      <c r="N106" t="str">
        <f ca="1">IFERROR(__xludf.DUMMYFUNCTION("""COMPUTED_VALUE"""),"51 ПРИБ")</f>
        <v>51 ПРИБ</v>
      </c>
      <c r="O106">
        <f ca="1">IFERROR(__xludf.DUMMYFUNCTION("""COMPUTED_VALUE"""),38830)</f>
        <v>38830</v>
      </c>
      <c r="P106" t="str">
        <f ca="1">IFERROR(__xludf.DUMMYFUNCTION("""COMPUTED_VALUE"""),"ЯМНИЦА")</f>
        <v>ЯМНИЦА</v>
      </c>
      <c r="Q106">
        <f ca="1">IFERROR(__xludf.DUMMYFUNCTION("""COMPUTED_VALUE"""),33580)</f>
        <v>33580</v>
      </c>
      <c r="R106" t="str">
        <f ca="1">IFERROR(__xludf.DUMMYFUNCTION("""COMPUTED_VALUE"""),"ВИННИЦА")</f>
        <v>ВИННИЦА</v>
      </c>
      <c r="S106" t="str">
        <f ca="1">IFERROR(__xludf.DUMMYFUNCTION("""COMPUTED_VALUE"""),"05.08.21 18-00")</f>
        <v>05.08.21 18-00</v>
      </c>
      <c r="T106">
        <f ca="1">IFERROR(__xludf.DUMMYFUNCTION("""COMPUTED_VALUE"""),8200)</f>
        <v>8200</v>
      </c>
      <c r="U106" t="str">
        <f ca="1">IFERROR(__xludf.DUMMYFUNCTION("""COMPUTED_VALUE"""),"07.06.2024 КР")</f>
        <v>07.06.2024 КР</v>
      </c>
      <c r="Z106" t="str">
        <f ca="1">IFERROR(__xludf.DUMMYFUNCTION("""COMPUTED_VALUE"""),"ООО «КЕРРИЛАЙН»")</f>
        <v>ООО «КЕРРИЛАЙН»</v>
      </c>
      <c r="AA106" t="str">
        <f ca="1">IFERROR(__xludf.DUMMYFUNCTION("""COMPUTED_VALUE"""),"11-286")</f>
        <v>11-286</v>
      </c>
      <c r="AB106" t="str">
        <f ca="1">IFERROR(__xludf.DUMMYFUNCTION("""COMPUTED_VALUE"""),"45 ПРИДН")</f>
        <v>45 ПРИДН</v>
      </c>
      <c r="AC106" t="str">
        <f ca="1">IFERROR(__xludf.DUMMYFUNCTION("""COMPUTED_VALUE"""),"47600 МЕЛИТОПОЛЬ")</f>
        <v>47600 МЕЛИТОПОЛЬ</v>
      </c>
      <c r="AD106" t="str">
        <f ca="1">IFERROR(__xludf.DUMMYFUNCTION("""COMPUTED_VALUE"""),"29.03.21 12-45")</f>
        <v>29.03.21 12-45</v>
      </c>
      <c r="AE106" t="str">
        <f ca="1">IFERROR(__xludf.DUMMYFUNCTION("""COMPUTED_VALUE"""),"570 ИCТEК КAЛЕНДАРНЫЙ CPOК ДEПOВCКОГО PEМOНТA")</f>
        <v>570 ИCТEК КAЛЕНДАРНЫЙ CPOК ДEПOВCКОГО PEМOНТA</v>
      </c>
      <c r="AF106" t="str">
        <f ca="1">IFERROR(__xludf.DUMMYFUNCTION("""COMPUTED_VALUE"""),"45 ПРИДН")</f>
        <v>45 ПРИДН</v>
      </c>
      <c r="AG106" t="str">
        <f ca="1">IFERROR(__xludf.DUMMYFUNCTION("""COMPUTED_VALUE"""),"47600 МЕЛИТОПОЛЬ")</f>
        <v>47600 МЕЛИТОПОЛЬ</v>
      </c>
      <c r="AH106" t="str">
        <f ca="1">IFERROR(__xludf.DUMMYFUNCTION("""COMPUTED_VALUE"""),"07.06.21 16-16")</f>
        <v>07.06.21 16-16</v>
      </c>
      <c r="AI106" s="21">
        <f ca="1">IFERROR(__xludf.DUMMYFUNCTION("""COMPUTED_VALUE"""),44420.357662037)</f>
        <v>44420.357662037</v>
      </c>
    </row>
    <row r="107" spans="1:35" ht="13" x14ac:dyDescent="0.15">
      <c r="A107">
        <f ca="1">IFERROR(__xludf.DUMMYFUNCTION("""COMPUTED_VALUE"""),297)</f>
        <v>297</v>
      </c>
      <c r="B107" t="str">
        <f ca="1">IFERROR(__xludf.DUMMYFUNCTION("""COMPUTED_VALUE"""),"Кнауф")</f>
        <v>Кнауф</v>
      </c>
      <c r="C107" t="str">
        <f ca="1">IFERROR(__xludf.DUMMYFUNCTION("""COMPUTED_VALUE"""),"Керрилайн РФ")</f>
        <v>Керрилайн РФ</v>
      </c>
      <c r="D107">
        <f ca="1">IFERROR(__xludf.DUMMYFUNCTION("""COMPUTED_VALUE"""),52114865)</f>
        <v>52114865</v>
      </c>
      <c r="E107" t="str">
        <f ca="1">IFERROR(__xludf.DUMMYFUNCTION("""COMPUTED_VALUE"""),"28 КРЫТЫЕ_138")</f>
        <v>28 КРЫТЫЕ_138</v>
      </c>
      <c r="F107">
        <f ca="1">IFERROR(__xludf.DUMMYFUNCTION("""COMPUTED_VALUE"""),28114)</f>
        <v>28114</v>
      </c>
      <c r="G107" t="str">
        <f ca="1">IFERROR(__xludf.DUMMYFUNCTION("""COMPUTED_VALUE"""),"ЦЕМЕНТ ПР")</f>
        <v>ЦЕМЕНТ ПР</v>
      </c>
      <c r="H107">
        <f ca="1">IFERROR(__xludf.DUMMYFUNCTION("""COMPUTED_VALUE"""),68)</f>
        <v>68</v>
      </c>
      <c r="I107">
        <f ca="1">IFERROR(__xludf.DUMMYFUNCTION("""COMPUTED_VALUE"""),1494)</f>
        <v>1494</v>
      </c>
      <c r="J107" t="str">
        <f ca="1">IFERROR(__xludf.DUMMYFUNCTION("""COMPUTED_VALUE"""),"3102 (37780-068-37000) НИКОЛАЕВ-ДН - ЛЬВОВ")</f>
        <v>3102 (37780-068-37000) НИКОЛАЕВ-ДН - ЛЬВОВ</v>
      </c>
      <c r="K107">
        <f ca="1">IFERROR(__xludf.DUMMYFUNCTION("""COMPUTED_VALUE"""),37000)</f>
        <v>37000</v>
      </c>
      <c r="L107" t="str">
        <f ca="1">IFERROR(__xludf.DUMMYFUNCTION("""COMPUTED_VALUE"""),"ЛЬВОВ")</f>
        <v>ЛЬВОВ</v>
      </c>
      <c r="M107" t="str">
        <f ca="1">IFERROR(__xludf.DUMMYFUNCTION("""COMPUTED_VALUE"""),"12.08.21 07-41")</f>
        <v>12.08.21 07-41</v>
      </c>
      <c r="N107" t="str">
        <f ca="1">IFERROR(__xludf.DUMMYFUNCTION("""COMPUTED_VALUE"""),"01 ПРИБ")</f>
        <v>01 ПРИБ</v>
      </c>
      <c r="O107">
        <f ca="1">IFERROR(__xludf.DUMMYFUNCTION("""COMPUTED_VALUE"""),44050)</f>
        <v>44050</v>
      </c>
      <c r="P107" t="str">
        <f ca="1">IFERROR(__xludf.DUMMYFUNCTION("""COMPUTED_VALUE"""),"ХАРЬКОВ-БАЛ")</f>
        <v>ХАРЬКОВ-БАЛ</v>
      </c>
      <c r="Q107">
        <f ca="1">IFERROR(__xludf.DUMMYFUNCTION("""COMPUTED_VALUE"""),38830)</f>
        <v>38830</v>
      </c>
      <c r="R107" t="str">
        <f ca="1">IFERROR(__xludf.DUMMYFUNCTION("""COMPUTED_VALUE"""),"ЯМНИЦА")</f>
        <v>ЯМНИЦА</v>
      </c>
      <c r="S107" t="str">
        <f ca="1">IFERROR(__xludf.DUMMYFUNCTION("""COMPUTED_VALUE"""),"08.08.21 03-00")</f>
        <v>08.08.21 03-00</v>
      </c>
      <c r="T107">
        <f ca="1">IFERROR(__xludf.DUMMYFUNCTION("""COMPUTED_VALUE"""),8199)</f>
        <v>8199</v>
      </c>
      <c r="U107" t="str">
        <f ca="1">IFERROR(__xludf.DUMMYFUNCTION("""COMPUTED_VALUE"""),"13.01.2024 КР")</f>
        <v>13.01.2024 КР</v>
      </c>
      <c r="Z107" t="str">
        <f ca="1">IFERROR(__xludf.DUMMYFUNCTION("""COMPUTED_VALUE"""),"ООО «КЕРРИЛАЙН»")</f>
        <v>ООО «КЕРРИЛАЙН»</v>
      </c>
      <c r="AA107" t="str">
        <f ca="1">IFERROR(__xludf.DUMMYFUNCTION("""COMPUTED_VALUE"""),"11-280")</f>
        <v>11-280</v>
      </c>
      <c r="AB107" t="str">
        <f ca="1">IFERROR(__xludf.DUMMYFUNCTION("""COMPUTED_VALUE"""),"35 ЛЬВ")</f>
        <v>35 ЛЬВ</v>
      </c>
      <c r="AC107" t="str">
        <f ca="1">IFERROR(__xludf.DUMMYFUNCTION("""COMPUTED_VALUE"""),"38850 ХРЫПЛИН")</f>
        <v>38850 ХРЫПЛИН</v>
      </c>
      <c r="AD107" t="str">
        <f ca="1">IFERROR(__xludf.DUMMYFUNCTION("""COMPUTED_VALUE"""),"18.06.21 19-00")</f>
        <v>18.06.21 19-00</v>
      </c>
      <c r="AE107" t="str">
        <f ca="1">IFERROR(__xludf.DUMMYFUNCTION("""COMPUTED_VALUE"""),"503 OБPЫВ CВAPНOГO ШВA CТOЙКИ")</f>
        <v>503 OБPЫВ CВAPНOГO ШВA CТOЙКИ</v>
      </c>
      <c r="AF107" t="str">
        <f ca="1">IFERROR(__xludf.DUMMYFUNCTION("""COMPUTED_VALUE"""),"35 ЛЬВ")</f>
        <v>35 ЛЬВ</v>
      </c>
      <c r="AG107" t="str">
        <f ca="1">IFERROR(__xludf.DUMMYFUNCTION("""COMPUTED_VALUE"""),"38850 ХРЫПЛИН")</f>
        <v>38850 ХРЫПЛИН</v>
      </c>
      <c r="AH107" t="str">
        <f ca="1">IFERROR(__xludf.DUMMYFUNCTION("""COMPUTED_VALUE"""),"23.06.21 17-30")</f>
        <v>23.06.21 17-30</v>
      </c>
      <c r="AI107" s="21">
        <f ca="1">IFERROR(__xludf.DUMMYFUNCTION("""COMPUTED_VALUE"""),44420.357662037)</f>
        <v>44420.357662037</v>
      </c>
    </row>
    <row r="108" spans="1:35" ht="13" x14ac:dyDescent="0.15">
      <c r="A108">
        <f ca="1">IFERROR(__xludf.DUMMYFUNCTION("""COMPUTED_VALUE"""),298)</f>
        <v>298</v>
      </c>
      <c r="B108" t="str">
        <f ca="1">IFERROR(__xludf.DUMMYFUNCTION("""COMPUTED_VALUE"""),"Промдримлайт")</f>
        <v>Промдримлайт</v>
      </c>
      <c r="C108" t="str">
        <f ca="1">IFERROR(__xludf.DUMMYFUNCTION("""COMPUTED_VALUE"""),"Керрилайн 60")</f>
        <v>Керрилайн 60</v>
      </c>
      <c r="D108">
        <f ca="1">IFERROR(__xludf.DUMMYFUNCTION("""COMPUTED_VALUE"""),52702032)</f>
        <v>52702032</v>
      </c>
      <c r="E108" t="str">
        <f ca="1">IFERROR(__xludf.DUMMYFUNCTION("""COMPUTED_VALUE"""),"20 КРЫТЫЕ")</f>
        <v>20 КРЫТЫЕ</v>
      </c>
      <c r="F108">
        <f ca="1">IFERROR(__xludf.DUMMYFUNCTION("""COMPUTED_VALUE"""),42116)</f>
        <v>42116</v>
      </c>
      <c r="G108" t="str">
        <f ca="1">IFERROR(__xludf.DUMMYFUNCTION("""COMPUTED_VALUE"""),"ВАГОН ДЛЯ ПРОВО")</f>
        <v>ВАГОН ДЛЯ ПРОВО</v>
      </c>
      <c r="H108">
        <f ca="1">IFERROR(__xludf.DUMMYFUNCTION("""COMPUTED_VALUE"""),1)</f>
        <v>1</v>
      </c>
      <c r="I108">
        <f ca="1">IFERROR(__xludf.DUMMYFUNCTION("""COMPUTED_VALUE"""),7932)</f>
        <v>7932</v>
      </c>
      <c r="J108" t="str">
        <f ca="1">IFERROR(__xludf.DUMMYFUNCTION("""COMPUTED_VALUE"""),"3601 (46710-026-46700) КРИВ.РОГ-СОР - КРИВ.РОГ-ГЛА")</f>
        <v>3601 (46710-026-46700) КРИВ.РОГ-СОР - КРИВ.РОГ-ГЛА</v>
      </c>
      <c r="K108">
        <f ca="1">IFERROR(__xludf.DUMMYFUNCTION("""COMPUTED_VALUE"""),46700)</f>
        <v>46700</v>
      </c>
      <c r="L108" t="str">
        <f ca="1">IFERROR(__xludf.DUMMYFUNCTION("""COMPUTED_VALUE"""),"КРИВ.РОГ-ГЛА")</f>
        <v>КРИВ.РОГ-ГЛА</v>
      </c>
      <c r="M108" t="str">
        <f ca="1">IFERROR(__xludf.DUMMYFUNCTION("""COMPUTED_VALUE"""),"11.08.21 04-55")</f>
        <v>11.08.21 04-55</v>
      </c>
      <c r="N108" t="str">
        <f ca="1">IFERROR(__xludf.DUMMYFUNCTION("""COMPUTED_VALUE"""),"49 ОСВО")</f>
        <v>49 ОСВО</v>
      </c>
      <c r="O108">
        <f ca="1">IFERROR(__xludf.DUMMYFUNCTION("""COMPUTED_VALUE"""),46700)</f>
        <v>46700</v>
      </c>
      <c r="P108" t="str">
        <f ca="1">IFERROR(__xludf.DUMMYFUNCTION("""COMPUTED_VALUE"""),"КРИВ.РОГ-ГЛА")</f>
        <v>КРИВ.РОГ-ГЛА</v>
      </c>
      <c r="Q108">
        <f ca="1">IFERROR(__xludf.DUMMYFUNCTION("""COMPUTED_VALUE"""),46600)</f>
        <v>46600</v>
      </c>
      <c r="R108" t="str">
        <f ca="1">IFERROR(__xludf.DUMMYFUNCTION("""COMPUTED_VALUE"""),"НИКОПОЛЬ")</f>
        <v>НИКОПОЛЬ</v>
      </c>
      <c r="S108" t="str">
        <f ca="1">IFERROR(__xludf.DUMMYFUNCTION("""COMPUTED_VALUE"""),"07.08.21 14-40")</f>
        <v>07.08.21 14-40</v>
      </c>
      <c r="T108">
        <f ca="1">IFERROR(__xludf.DUMMYFUNCTION("""COMPUTED_VALUE"""),3925)</f>
        <v>3925</v>
      </c>
      <c r="U108" t="str">
        <f ca="1">IFERROR(__xludf.DUMMYFUNCTION("""COMPUTED_VALUE"""),"22.04.2023 ДР")</f>
        <v>22.04.2023 ДР</v>
      </c>
      <c r="Z108" t="str">
        <f ca="1">IFERROR(__xludf.DUMMYFUNCTION("""COMPUTED_VALUE"""),"ООО «КЕРРИЛАЙН»")</f>
        <v>ООО «КЕРРИЛАЙН»</v>
      </c>
      <c r="AA108" t="str">
        <f ca="1">IFERROR(__xludf.DUMMYFUNCTION("""COMPUTED_VALUE"""),"11-274")</f>
        <v>11-274</v>
      </c>
      <c r="AB108" t="str">
        <f ca="1">IFERROR(__xludf.DUMMYFUNCTION("""COMPUTED_VALUE"""),"45 ПРИДН")</f>
        <v>45 ПРИДН</v>
      </c>
      <c r="AC108" t="str">
        <f ca="1">IFERROR(__xludf.DUMMYFUNCTION("""COMPUTED_VALUE"""),"47600 МЕЛИТОПОЛЬ")</f>
        <v>47600 МЕЛИТОПОЛЬ</v>
      </c>
      <c r="AD108" t="str">
        <f ca="1">IFERROR(__xludf.DUMMYFUNCTION("""COMPUTED_VALUE"""),"12.04.20 06-37")</f>
        <v>12.04.20 06-37</v>
      </c>
      <c r="AE108" t="str">
        <f ca="1">IFERROR(__xludf.DUMMYFUNCTION("""COMPUTED_VALUE"""),"570")</f>
        <v>570</v>
      </c>
      <c r="AF108" t="str">
        <f ca="1">IFERROR(__xludf.DUMMYFUNCTION("""COMPUTED_VALUE"""),"48 ДОН")</f>
        <v>48 ДОН</v>
      </c>
      <c r="AG108" t="str">
        <f ca="1">IFERROR(__xludf.DUMMYFUNCTION("""COMPUTED_VALUE"""),"49200 СЛАВЯНСК")</f>
        <v>49200 СЛАВЯНСК</v>
      </c>
      <c r="AH108" t="str">
        <f ca="1">IFERROR(__xludf.DUMMYFUNCTION("""COMPUTED_VALUE"""),"03.07.21 15-00")</f>
        <v>03.07.21 15-00</v>
      </c>
      <c r="AI108" s="21">
        <f ca="1">IFERROR(__xludf.DUMMYFUNCTION("""COMPUTED_VALUE"""),44420.357662037)</f>
        <v>44420.357662037</v>
      </c>
    </row>
    <row r="109" spans="1:35" ht="13" x14ac:dyDescent="0.15">
      <c r="A109">
        <f ca="1">IFERROR(__xludf.DUMMYFUNCTION("""COMPUTED_VALUE"""),299)</f>
        <v>299</v>
      </c>
      <c r="B109" t="str">
        <f ca="1">IFERROR(__xludf.DUMMYFUNCTION("""COMPUTED_VALUE"""),"Промдримлайт")</f>
        <v>Промдримлайт</v>
      </c>
      <c r="C109" t="str">
        <f ca="1">IFERROR(__xludf.DUMMYFUNCTION("""COMPUTED_VALUE"""),"Керрилайн 60 РФ")</f>
        <v>Керрилайн 60 РФ</v>
      </c>
      <c r="D109">
        <f ca="1">IFERROR(__xludf.DUMMYFUNCTION("""COMPUTED_VALUE"""),52701844)</f>
        <v>52701844</v>
      </c>
      <c r="E109" t="str">
        <f ca="1">IFERROR(__xludf.DUMMYFUNCTION("""COMPUTED_VALUE"""),"20 КРЫТЫЕ")</f>
        <v>20 КРЫТЫЕ</v>
      </c>
      <c r="F109">
        <f ca="1">IFERROR(__xludf.DUMMYFUNCTION("""COMPUTED_VALUE"""),42116)</f>
        <v>42116</v>
      </c>
      <c r="G109" t="str">
        <f ca="1">IFERROR(__xludf.DUMMYFUNCTION("""COMPUTED_VALUE"""),"ВАГОН ДЛЯ ПРОВО")</f>
        <v>ВАГОН ДЛЯ ПРОВО</v>
      </c>
      <c r="H109">
        <f ca="1">IFERROR(__xludf.DUMMYFUNCTION("""COMPUTED_VALUE"""),1)</f>
        <v>1</v>
      </c>
      <c r="I109">
        <f ca="1">IFERROR(__xludf.DUMMYFUNCTION("""COMPUTED_VALUE"""),6439)</f>
        <v>6439</v>
      </c>
      <c r="J109" t="str">
        <f ca="1">IFERROR(__xludf.DUMMYFUNCTION("""COMPUTED_VALUE"""),"2469 (46000-207-45000) ЗАПОРОЖ-ЛЕВ - НИЖНЕДН-УЗЕЛ")</f>
        <v>2469 (46000-207-45000) ЗАПОРОЖ-ЛЕВ - НИЖНЕДН-УЗЕЛ</v>
      </c>
      <c r="K109">
        <f ca="1">IFERROR(__xludf.DUMMYFUNCTION("""COMPUTED_VALUE"""),45060)</f>
        <v>45060</v>
      </c>
      <c r="L109" t="str">
        <f ca="1">IFERROR(__xludf.DUMMYFUNCTION("""COMPUTED_VALUE"""),"НИЖНЕДНЕПРОВ")</f>
        <v>НИЖНЕДНЕПРОВ</v>
      </c>
      <c r="M109" t="str">
        <f ca="1">IFERROR(__xludf.DUMMYFUNCTION("""COMPUTED_VALUE"""),"12.08.21 02-30")</f>
        <v>12.08.21 02-30</v>
      </c>
      <c r="N109" t="str">
        <f ca="1">IFERROR(__xludf.DUMMYFUNCTION("""COMPUTED_VALUE"""),"49 ОСВО")</f>
        <v>49 ОСВО</v>
      </c>
      <c r="O109">
        <f ca="1">IFERROR(__xludf.DUMMYFUNCTION("""COMPUTED_VALUE"""),46600)</f>
        <v>46600</v>
      </c>
      <c r="P109" t="str">
        <f ca="1">IFERROR(__xludf.DUMMYFUNCTION("""COMPUTED_VALUE"""),"НИКОПОЛЬ")</f>
        <v>НИКОПОЛЬ</v>
      </c>
      <c r="Q109">
        <f ca="1">IFERROR(__xludf.DUMMYFUNCTION("""COMPUTED_VALUE"""),46600)</f>
        <v>46600</v>
      </c>
      <c r="R109" t="str">
        <f ca="1">IFERROR(__xludf.DUMMYFUNCTION("""COMPUTED_VALUE"""),"НИКОПОЛЬ")</f>
        <v>НИКОПОЛЬ</v>
      </c>
      <c r="S109" t="str">
        <f ca="1">IFERROR(__xludf.DUMMYFUNCTION("""COMPUTED_VALUE"""),"09.08.21 16-00")</f>
        <v>09.08.21 16-00</v>
      </c>
      <c r="T109">
        <f ca="1">IFERROR(__xludf.DUMMYFUNCTION("""COMPUTED_VALUE"""),3925)</f>
        <v>3925</v>
      </c>
      <c r="U109" t="str">
        <f ca="1">IFERROR(__xludf.DUMMYFUNCTION("""COMPUTED_VALUE"""),"19.09.2023 ТР-1")</f>
        <v>19.09.2023 ТР-1</v>
      </c>
      <c r="Z109" t="str">
        <f ca="1">IFERROR(__xludf.DUMMYFUNCTION("""COMPUTED_VALUE"""),"ООО «КЕРРИЛАЙН»")</f>
        <v>ООО «КЕРРИЛАЙН»</v>
      </c>
      <c r="AA109" t="str">
        <f ca="1">IFERROR(__xludf.DUMMYFUNCTION("""COMPUTED_VALUE"""),"11-274")</f>
        <v>11-274</v>
      </c>
      <c r="AB109" t="str">
        <f ca="1">IFERROR(__xludf.DUMMYFUNCTION("""COMPUTED_VALUE"""),"48 ДОН")</f>
        <v>48 ДОН</v>
      </c>
      <c r="AC109" t="str">
        <f ca="1">IFERROR(__xludf.DUMMYFUNCTION("""COMPUTED_VALUE"""),"49200 СЛАВЯНСК")</f>
        <v>49200 СЛАВЯНСК</v>
      </c>
      <c r="AD109" t="str">
        <f ca="1">IFERROR(__xludf.DUMMYFUNCTION("""COMPUTED_VALUE"""),"14.06.21 12-10")</f>
        <v>14.06.21 12-10</v>
      </c>
      <c r="AE109" t="str">
        <f ca="1">IFERROR(__xludf.DUMMYFUNCTION("""COMPUTED_VALUE"""),"570 ИCТEК КAЛЕНДАРНЫЙ CPOК ДEПOВCКОГО PEМOНТA")</f>
        <v>570 ИCТEК КAЛЕНДАРНЫЙ CPOК ДEПOВCКОГО PEМOНТA</v>
      </c>
      <c r="AF109" t="str">
        <f ca="1">IFERROR(__xludf.DUMMYFUNCTION("""COMPUTED_VALUE"""),"48 ДОН")</f>
        <v>48 ДОН</v>
      </c>
      <c r="AG109" t="str">
        <f ca="1">IFERROR(__xludf.DUMMYFUNCTION("""COMPUTED_VALUE"""),"49200 СЛАВЯНСК")</f>
        <v>49200 СЛАВЯНСК</v>
      </c>
      <c r="AH109" t="str">
        <f ca="1">IFERROR(__xludf.DUMMYFUNCTION("""COMPUTED_VALUE"""),"17.06.21 12-00")</f>
        <v>17.06.21 12-00</v>
      </c>
      <c r="AI109" s="21">
        <f ca="1">IFERROR(__xludf.DUMMYFUNCTION("""COMPUTED_VALUE"""),44420.357662037)</f>
        <v>44420.357662037</v>
      </c>
    </row>
    <row r="110" spans="1:35" ht="13" x14ac:dyDescent="0.15">
      <c r="A110">
        <f ca="1">IFERROR(__xludf.DUMMYFUNCTION("""COMPUTED_VALUE"""),300)</f>
        <v>300</v>
      </c>
      <c r="B110" t="str">
        <f ca="1">IFERROR(__xludf.DUMMYFUNCTION("""COMPUTED_VALUE"""),"Кнауф")</f>
        <v>Кнауф</v>
      </c>
      <c r="C110" t="str">
        <f ca="1">IFERROR(__xludf.DUMMYFUNCTION("""COMPUTED_VALUE"""),"Керрилайн 64 РФ")</f>
        <v>Керрилайн 64 РФ</v>
      </c>
      <c r="D110">
        <f ca="1">IFERROR(__xludf.DUMMYFUNCTION("""COMPUTED_VALUE"""),52708310)</f>
        <v>52708310</v>
      </c>
      <c r="E110" t="str">
        <f ca="1">IFERROR(__xludf.DUMMYFUNCTION("""COMPUTED_VALUE"""),"20 КРЫТЫЕ")</f>
        <v>20 КРЫТЫЕ</v>
      </c>
      <c r="F110">
        <f ca="1">IFERROR(__xludf.DUMMYFUNCTION("""COMPUTED_VALUE"""),42103)</f>
        <v>42103</v>
      </c>
      <c r="G110" t="str">
        <f ca="1">IFERROR(__xludf.DUMMYFUNCTION("""COMPUTED_VALUE"""),"ВАГОНЫ ЖД СВ")</f>
        <v>ВАГОНЫ ЖД СВ</v>
      </c>
      <c r="H110">
        <f ca="1">IFERROR(__xludf.DUMMYFUNCTION("""COMPUTED_VALUE"""),0)</f>
        <v>0</v>
      </c>
      <c r="I110">
        <f ca="1">IFERROR(__xludf.DUMMYFUNCTION("""COMPUTED_VALUE"""),3925)</f>
        <v>3925</v>
      </c>
      <c r="J110" t="str">
        <f ca="1">IFERROR(__xludf.DUMMYFUNCTION("""COMPUTED_VALUE"""),"2723 (46000-313-46600) ЗАПОРОЖ-ЛЕВ - НИКОПОЛЬ")</f>
        <v>2723 (46000-313-46600) ЗАПОРОЖ-ЛЕВ - НИКОПОЛЬ</v>
      </c>
      <c r="K110">
        <f ca="1">IFERROR(__xludf.DUMMYFUNCTION("""COMPUTED_VALUE"""),46600)</f>
        <v>46600</v>
      </c>
      <c r="L110" t="str">
        <f ca="1">IFERROR(__xludf.DUMMYFUNCTION("""COMPUTED_VALUE"""),"НИКОПОЛЬ")</f>
        <v>НИКОПОЛЬ</v>
      </c>
      <c r="M110" t="str">
        <f ca="1">IFERROR(__xludf.DUMMYFUNCTION("""COMPUTED_VALUE"""),"07.08.21 12-50")</f>
        <v>07.08.21 12-50</v>
      </c>
      <c r="N110" t="str">
        <f ca="1">IFERROR(__xludf.DUMMYFUNCTION("""COMPUTED_VALUE"""),"98 ОТОТ")</f>
        <v>98 ОТОТ</v>
      </c>
      <c r="O110">
        <f ca="1">IFERROR(__xludf.DUMMYFUNCTION("""COMPUTED_VALUE"""),46600)</f>
        <v>46600</v>
      </c>
      <c r="P110" t="str">
        <f ca="1">IFERROR(__xludf.DUMMYFUNCTION("""COMPUTED_VALUE"""),"НИКОПОЛЬ")</f>
        <v>НИКОПОЛЬ</v>
      </c>
      <c r="Q110">
        <f ca="1">IFERROR(__xludf.DUMMYFUNCTION("""COMPUTED_VALUE"""),48560)</f>
        <v>48560</v>
      </c>
      <c r="R110" t="str">
        <f ca="1">IFERROR(__xludf.DUMMYFUNCTION("""COMPUTED_VALUE"""),"МАРИУП-СОРТ")</f>
        <v>МАРИУП-СОРТ</v>
      </c>
      <c r="S110" t="str">
        <f ca="1">IFERROR(__xludf.DUMMYFUNCTION("""COMPUTED_VALUE"""),"02.08.21 23-19")</f>
        <v>02.08.21 23-19</v>
      </c>
      <c r="T110">
        <f ca="1">IFERROR(__xludf.DUMMYFUNCTION("""COMPUTED_VALUE"""),3134)</f>
        <v>3134</v>
      </c>
      <c r="U110" t="str">
        <f ca="1">IFERROR(__xludf.DUMMYFUNCTION("""COMPUTED_VALUE"""),"23.09.2023 ТР-1")</f>
        <v>23.09.2023 ТР-1</v>
      </c>
      <c r="Z110" t="str">
        <f ca="1">IFERROR(__xludf.DUMMYFUNCTION("""COMPUTED_VALUE"""),"ООО «КЕРРИЛАЙН»")</f>
        <v>ООО «КЕРРИЛАЙН»</v>
      </c>
      <c r="AA110" t="str">
        <f ca="1">IFERROR(__xludf.DUMMYFUNCTION("""COMPUTED_VALUE"""),"11-274-01")</f>
        <v>11-274-01</v>
      </c>
      <c r="AB110" t="str">
        <f ca="1">IFERROR(__xludf.DUMMYFUNCTION("""COMPUTED_VALUE"""),"48 ДОН")</f>
        <v>48 ДОН</v>
      </c>
      <c r="AC110" t="str">
        <f ca="1">IFERROR(__xludf.DUMMYFUNCTION("""COMPUTED_VALUE"""),"49200 СЛАВЯНСК")</f>
        <v>49200 СЛАВЯНСК</v>
      </c>
      <c r="AD110" t="str">
        <f ca="1">IFERROR(__xludf.DUMMYFUNCTION("""COMPUTED_VALUE"""),"08.06.21 17-51")</f>
        <v>08.06.21 17-51</v>
      </c>
      <c r="AE110" t="str">
        <f ca="1">IFERROR(__xludf.DUMMYFUNCTION("""COMPUTED_VALUE"""),"570 ИCТEК КAЛЕНДАРНЫЙ CPOК ДEПOВCКОГО PEМOНТA")</f>
        <v>570 ИCТEК КAЛЕНДАРНЫЙ CPOК ДEПOВCКОГО PEМOНТA</v>
      </c>
      <c r="AF110" t="str">
        <f ca="1">IFERROR(__xludf.DUMMYFUNCTION("""COMPUTED_VALUE"""),"48 ДОН")</f>
        <v>48 ДОН</v>
      </c>
      <c r="AG110" t="str">
        <f ca="1">IFERROR(__xludf.DUMMYFUNCTION("""COMPUTED_VALUE"""),"49200 СЛАВЯНСК")</f>
        <v>49200 СЛАВЯНСК</v>
      </c>
      <c r="AH110" t="str">
        <f ca="1">IFERROR(__xludf.DUMMYFUNCTION("""COMPUTED_VALUE"""),"14.06.21 12-00")</f>
        <v>14.06.21 12-00</v>
      </c>
      <c r="AI110" s="21">
        <f ca="1">IFERROR(__xludf.DUMMYFUNCTION("""COMPUTED_VALUE"""),44420.357662037)</f>
        <v>44420.357662037</v>
      </c>
    </row>
    <row r="111" spans="1:35" ht="13" x14ac:dyDescent="0.15">
      <c r="A111">
        <f ca="1">IFERROR(__xludf.DUMMYFUNCTION("""COMPUTED_VALUE"""),301)</f>
        <v>301</v>
      </c>
      <c r="B111" t="str">
        <f ca="1">IFERROR(__xludf.DUMMYFUNCTION("""COMPUTED_VALUE"""),"Промдримлайт")</f>
        <v>Промдримлайт</v>
      </c>
      <c r="C111" t="str">
        <f ca="1">IFERROR(__xludf.DUMMYFUNCTION("""COMPUTED_VALUE"""),"Керрилайн 64 РФ")</f>
        <v>Керрилайн 64 РФ</v>
      </c>
      <c r="D111">
        <f ca="1">IFERROR(__xludf.DUMMYFUNCTION("""COMPUTED_VALUE"""),52708245)</f>
        <v>52708245</v>
      </c>
      <c r="E111" t="str">
        <f ca="1">IFERROR(__xludf.DUMMYFUNCTION("""COMPUTED_VALUE"""),"20 КРЫТЫЕ")</f>
        <v>20 КРЫТЫЕ</v>
      </c>
      <c r="F111">
        <f ca="1">IFERROR(__xludf.DUMMYFUNCTION("""COMPUTED_VALUE"""),42119)</f>
        <v>42119</v>
      </c>
      <c r="G111" t="str">
        <f ca="1">IFERROR(__xludf.DUMMYFUNCTION("""COMPUTED_VALUE"""),"ВАГОНЫ ЖД РЕМОН")</f>
        <v>ВАГОНЫ ЖД РЕМОН</v>
      </c>
      <c r="H111">
        <f ca="1">IFERROR(__xludf.DUMMYFUNCTION("""COMPUTED_VALUE"""),0)</f>
        <v>0</v>
      </c>
      <c r="I111">
        <f ca="1">IFERROR(__xludf.DUMMYFUNCTION("""COMPUTED_VALUE"""),6599)</f>
        <v>6599</v>
      </c>
      <c r="J111" t="str">
        <f ca="1">IFERROR(__xludf.DUMMYFUNCTION("""COMPUTED_VALUE"""),"3501 (45000-080-45070) НИЖНЕДН-УЗЕЛ - НИЖНЕДН-ПРИС")</f>
        <v>3501 (45000-080-45070) НИЖНЕДН-УЗЕЛ - НИЖНЕДН-ПРИС</v>
      </c>
      <c r="K111">
        <f ca="1">IFERROR(__xludf.DUMMYFUNCTION("""COMPUTED_VALUE"""),45060)</f>
        <v>45060</v>
      </c>
      <c r="L111" t="str">
        <f ca="1">IFERROR(__xludf.DUMMYFUNCTION("""COMPUTED_VALUE"""),"НИЖНЕДНЕПРОВ")</f>
        <v>НИЖНЕДНЕПРОВ</v>
      </c>
      <c r="M111" t="str">
        <f ca="1">IFERROR(__xludf.DUMMYFUNCTION("""COMPUTED_VALUE"""),"07.08.21 17-54")</f>
        <v>07.08.21 17-54</v>
      </c>
      <c r="N111" t="str">
        <f ca="1">IFERROR(__xludf.DUMMYFUNCTION("""COMPUTED_VALUE"""),"53 ВУ23")</f>
        <v>53 ВУ23</v>
      </c>
      <c r="O111">
        <f ca="1">IFERROR(__xludf.DUMMYFUNCTION("""COMPUTED_VALUE"""),45060)</f>
        <v>45060</v>
      </c>
      <c r="P111" t="str">
        <f ca="1">IFERROR(__xludf.DUMMYFUNCTION("""COMPUTED_VALUE"""),"НИЖНЕДНЕПРОВ")</f>
        <v>НИЖНЕДНЕПРОВ</v>
      </c>
      <c r="Q111">
        <f ca="1">IFERROR(__xludf.DUMMYFUNCTION("""COMPUTED_VALUE"""),47600)</f>
        <v>47600</v>
      </c>
      <c r="R111" t="str">
        <f ca="1">IFERROR(__xludf.DUMMYFUNCTION("""COMPUTED_VALUE"""),"МЕЛИТОПОЛЬ")</f>
        <v>МЕЛИТОПОЛЬ</v>
      </c>
      <c r="S111" t="str">
        <f ca="1">IFERROR(__xludf.DUMMYFUNCTION("""COMPUTED_VALUE"""),"02.06.21 16-30")</f>
        <v>02.06.21 16-30</v>
      </c>
      <c r="T111">
        <f ca="1">IFERROR(__xludf.DUMMYFUNCTION("""COMPUTED_VALUE"""),9775)</f>
        <v>9775</v>
      </c>
      <c r="U111" t="str">
        <f ca="1">IFERROR(__xludf.DUMMYFUNCTION("""COMPUTED_VALUE"""),"13.08.2021 КР")</f>
        <v>13.08.2021 КР</v>
      </c>
      <c r="Z111" t="str">
        <f ca="1">IFERROR(__xludf.DUMMYFUNCTION("""COMPUTED_VALUE"""),"ООО «ИНТЕРТРАНСТРЕЙДИНГ»")</f>
        <v>ООО «ИНТЕРТРАНСТРЕЙДИНГ»</v>
      </c>
      <c r="AA111" t="str">
        <f ca="1">IFERROR(__xludf.DUMMYFUNCTION("""COMPUTED_VALUE"""),"11-274-01")</f>
        <v>11-274-01</v>
      </c>
      <c r="AB111" t="str">
        <f ca="1">IFERROR(__xludf.DUMMYFUNCTION("""COMPUTED_VALUE"""),"45 ПРИДН")</f>
        <v>45 ПРИДН</v>
      </c>
      <c r="AC111" t="str">
        <f ca="1">IFERROR(__xludf.DUMMYFUNCTION("""COMPUTED_VALUE"""),"45060 НИЖНЕДНЕПРОВ")</f>
        <v>45060 НИЖНЕДНЕПРОВ</v>
      </c>
      <c r="AD111" t="str">
        <f ca="1">IFERROR(__xludf.DUMMYFUNCTION("""COMPUTED_VALUE"""),"07.08.21 17-54")</f>
        <v>07.08.21 17-54</v>
      </c>
      <c r="AE111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I111" s="21">
        <f ca="1">IFERROR(__xludf.DUMMYFUNCTION("""COMPUTED_VALUE"""),44420.357662037)</f>
        <v>44420.357662037</v>
      </c>
    </row>
    <row r="112" spans="1:35" ht="13" x14ac:dyDescent="0.15">
      <c r="A112">
        <f ca="1">IFERROR(__xludf.DUMMYFUNCTION("""COMPUTED_VALUE"""),302)</f>
        <v>302</v>
      </c>
      <c r="B112" t="str">
        <f ca="1">IFERROR(__xludf.DUMMYFUNCTION("""COMPUTED_VALUE"""),"Промдримлайт")</f>
        <v>Промдримлайт</v>
      </c>
      <c r="C112" t="str">
        <f ca="1">IFERROR(__xludf.DUMMYFUNCTION("""COMPUTED_VALUE"""),"Керрилайн 64 РФ")</f>
        <v>Керрилайн 64 РФ</v>
      </c>
      <c r="D112">
        <f ca="1">IFERROR(__xludf.DUMMYFUNCTION("""COMPUTED_VALUE"""),52708427)</f>
        <v>52708427</v>
      </c>
      <c r="E112" t="str">
        <f ca="1">IFERROR(__xludf.DUMMYFUNCTION("""COMPUTED_VALUE"""),"20 КРЫТЫЕ")</f>
        <v>20 КРЫТЫЕ</v>
      </c>
      <c r="F112">
        <f ca="1">IFERROR(__xludf.DUMMYFUNCTION("""COMPUTED_VALUE"""),42103)</f>
        <v>42103</v>
      </c>
      <c r="G112" t="str">
        <f ca="1">IFERROR(__xludf.DUMMYFUNCTION("""COMPUTED_VALUE"""),"ВАГОНЫ ЖД СВ")</f>
        <v>ВАГОНЫ ЖД СВ</v>
      </c>
      <c r="H112">
        <f ca="1">IFERROR(__xludf.DUMMYFUNCTION("""COMPUTED_VALUE"""),0)</f>
        <v>0</v>
      </c>
      <c r="I112">
        <f ca="1">IFERROR(__xludf.DUMMYFUNCTION("""COMPUTED_VALUE"""),3925)</f>
        <v>3925</v>
      </c>
      <c r="J112" t="str">
        <f ca="1">IFERROR(__xludf.DUMMYFUNCTION("""COMPUTED_VALUE"""),"2605 (46000-223-46600) ЗАПОРОЖ-ЛЕВ - НИКОПОЛЬ")</f>
        <v>2605 (46000-223-46600) ЗАПОРОЖ-ЛЕВ - НИКОПОЛЬ</v>
      </c>
      <c r="K112">
        <f ca="1">IFERROR(__xludf.DUMMYFUNCTION("""COMPUTED_VALUE"""),46600)</f>
        <v>46600</v>
      </c>
      <c r="L112" t="str">
        <f ca="1">IFERROR(__xludf.DUMMYFUNCTION("""COMPUTED_VALUE"""),"НИКОПОЛЬ")</f>
        <v>НИКОПОЛЬ</v>
      </c>
      <c r="M112" t="str">
        <f ca="1">IFERROR(__xludf.DUMMYFUNCTION("""COMPUTED_VALUE"""),"30.06.21 11-30")</f>
        <v>30.06.21 11-30</v>
      </c>
      <c r="N112" t="str">
        <f ca="1">IFERROR(__xludf.DUMMYFUNCTION("""COMPUTED_VALUE"""),"98 ОТОТ")</f>
        <v>98 ОТОТ</v>
      </c>
      <c r="O112">
        <f ca="1">IFERROR(__xludf.DUMMYFUNCTION("""COMPUTED_VALUE"""),46600)</f>
        <v>46600</v>
      </c>
      <c r="P112" t="str">
        <f ca="1">IFERROR(__xludf.DUMMYFUNCTION("""COMPUTED_VALUE"""),"НИКОПОЛЬ")</f>
        <v>НИКОПОЛЬ</v>
      </c>
      <c r="Q112">
        <f ca="1">IFERROR(__xludf.DUMMYFUNCTION("""COMPUTED_VALUE"""),49200)</f>
        <v>49200</v>
      </c>
      <c r="R112" t="str">
        <f ca="1">IFERROR(__xludf.DUMMYFUNCTION("""COMPUTED_VALUE"""),"СЛАВЯНСК")</f>
        <v>СЛАВЯНСК</v>
      </c>
      <c r="S112" t="str">
        <f ca="1">IFERROR(__xludf.DUMMYFUNCTION("""COMPUTED_VALUE"""),"27.06.21 19-20")</f>
        <v>27.06.21 19-20</v>
      </c>
      <c r="T112">
        <f ca="1">IFERROR(__xludf.DUMMYFUNCTION("""COMPUTED_VALUE"""),9785)</f>
        <v>9785</v>
      </c>
      <c r="U112" t="str">
        <f ca="1">IFERROR(__xludf.DUMMYFUNCTION("""COMPUTED_VALUE"""),"16.09.2023 ТР-1")</f>
        <v>16.09.2023 ТР-1</v>
      </c>
      <c r="Z112" t="str">
        <f ca="1">IFERROR(__xludf.DUMMYFUNCTION("""COMPUTED_VALUE"""),"ООО «КЕРРИЛАЙН»")</f>
        <v>ООО «КЕРРИЛАЙН»</v>
      </c>
      <c r="AA112" t="str">
        <f ca="1">IFERROR(__xludf.DUMMYFUNCTION("""COMPUTED_VALUE"""),"11-274-01")</f>
        <v>11-274-01</v>
      </c>
      <c r="AB112" t="str">
        <f ca="1">IFERROR(__xludf.DUMMYFUNCTION("""COMPUTED_VALUE"""),"48 ДОН")</f>
        <v>48 ДОН</v>
      </c>
      <c r="AC112" t="str">
        <f ca="1">IFERROR(__xludf.DUMMYFUNCTION("""COMPUTED_VALUE"""),"49200 СЛАВЯНСК")</f>
        <v>49200 СЛАВЯНСК</v>
      </c>
      <c r="AD112" t="str">
        <f ca="1">IFERROR(__xludf.DUMMYFUNCTION("""COMPUTED_VALUE"""),"14.06.21 12-10")</f>
        <v>14.06.21 12-10</v>
      </c>
      <c r="AE112" t="str">
        <f ca="1">IFERROR(__xludf.DUMMYFUNCTION("""COMPUTED_VALUE"""),"570 ИCТEК КAЛЕНДАРНЫЙ CPOК ДEПOВCКОГО PEМOНТA")</f>
        <v>570 ИCТEК КAЛЕНДАРНЫЙ CPOК ДEПOВCКОГО PEМOНТA</v>
      </c>
      <c r="AF112" t="str">
        <f ca="1">IFERROR(__xludf.DUMMYFUNCTION("""COMPUTED_VALUE"""),"48 ДОН")</f>
        <v>48 ДОН</v>
      </c>
      <c r="AG112" t="str">
        <f ca="1">IFERROR(__xludf.DUMMYFUNCTION("""COMPUTED_VALUE"""),"49200 СЛАВЯНСК")</f>
        <v>49200 СЛАВЯНСК</v>
      </c>
      <c r="AH112" t="str">
        <f ca="1">IFERROR(__xludf.DUMMYFUNCTION("""COMPUTED_VALUE"""),"27.06.21 16-00")</f>
        <v>27.06.21 16-00</v>
      </c>
      <c r="AI112" s="21">
        <f ca="1">IFERROR(__xludf.DUMMYFUNCTION("""COMPUTED_VALUE"""),44420.357662037)</f>
        <v>44420.357662037</v>
      </c>
    </row>
    <row r="113" spans="1:35" ht="13" x14ac:dyDescent="0.15">
      <c r="A113">
        <f ca="1">IFERROR(__xludf.DUMMYFUNCTION("""COMPUTED_VALUE"""),303)</f>
        <v>303</v>
      </c>
      <c r="B113" t="str">
        <f ca="1">IFERROR(__xludf.DUMMYFUNCTION("""COMPUTED_VALUE"""),"ТЛГ")</f>
        <v>ТЛГ</v>
      </c>
      <c r="C113" t="str">
        <f ca="1">IFERROR(__xludf.DUMMYFUNCTION("""COMPUTED_VALUE"""),"Керрилайн 64")</f>
        <v>Керрилайн 64</v>
      </c>
      <c r="D113">
        <f ca="1">IFERROR(__xludf.DUMMYFUNCTION("""COMPUTED_VALUE"""),52708369)</f>
        <v>52708369</v>
      </c>
      <c r="E113" t="str">
        <f ca="1">IFERROR(__xludf.DUMMYFUNCTION("""COMPUTED_VALUE"""),"20 КРЫТЫЕ")</f>
        <v>20 КРЫТЫЕ</v>
      </c>
      <c r="F113">
        <f ca="1">IFERROR(__xludf.DUMMYFUNCTION("""COMPUTED_VALUE"""),42119)</f>
        <v>42119</v>
      </c>
      <c r="G113" t="str">
        <f ca="1">IFERROR(__xludf.DUMMYFUNCTION("""COMPUTED_VALUE"""),"ВАГОНЫ ЖД РЕМОН")</f>
        <v>ВАГОНЫ ЖД РЕМОН</v>
      </c>
      <c r="H113">
        <f ca="1">IFERROR(__xludf.DUMMYFUNCTION("""COMPUTED_VALUE"""),0)</f>
        <v>0</v>
      </c>
      <c r="I113">
        <f ca="1">IFERROR(__xludf.DUMMYFUNCTION("""COMPUTED_VALUE"""),9785)</f>
        <v>9785</v>
      </c>
      <c r="J113" t="str">
        <f ca="1">IFERROR(__xludf.DUMMYFUNCTION("""COMPUTED_VALUE"""),"4831 (49050-028-49200) ИМ.КОЖУШКО - СЛАВЯНСК")</f>
        <v>4831 (49050-028-49200) ИМ.КОЖУШКО - СЛАВЯНСК</v>
      </c>
      <c r="K113">
        <f ca="1">IFERROR(__xludf.DUMMYFUNCTION("""COMPUTED_VALUE"""),49200)</f>
        <v>49200</v>
      </c>
      <c r="L113" t="str">
        <f ca="1">IFERROR(__xludf.DUMMYFUNCTION("""COMPUTED_VALUE"""),"СЛАВЯНСК")</f>
        <v>СЛАВЯНСК</v>
      </c>
      <c r="M113" t="str">
        <f ca="1">IFERROR(__xludf.DUMMYFUNCTION("""COMPUTED_VALUE"""),"02.06.21 16-30")</f>
        <v>02.06.21 16-30</v>
      </c>
      <c r="N113" t="str">
        <f ca="1">IFERROR(__xludf.DUMMYFUNCTION("""COMPUTED_VALUE"""),"98 ОТОТ")</f>
        <v>98 ОТОТ</v>
      </c>
      <c r="O113">
        <f ca="1">IFERROR(__xludf.DUMMYFUNCTION("""COMPUTED_VALUE"""),49200)</f>
        <v>49200</v>
      </c>
      <c r="P113" t="str">
        <f ca="1">IFERROR(__xludf.DUMMYFUNCTION("""COMPUTED_VALUE"""),"СЛАВЯНСК")</f>
        <v>СЛАВЯНСК</v>
      </c>
      <c r="Q113">
        <f ca="1">IFERROR(__xludf.DUMMYFUNCTION("""COMPUTED_VALUE"""),46600)</f>
        <v>46600</v>
      </c>
      <c r="R113" t="str">
        <f ca="1">IFERROR(__xludf.DUMMYFUNCTION("""COMPUTED_VALUE"""),"НИКОПОЛЬ")</f>
        <v>НИКОПОЛЬ</v>
      </c>
      <c r="S113" t="str">
        <f ca="1">IFERROR(__xludf.DUMMYFUNCTION("""COMPUTED_VALUE"""),"28.05.21 14-10")</f>
        <v>28.05.21 14-10</v>
      </c>
      <c r="T113">
        <f ca="1">IFERROR(__xludf.DUMMYFUNCTION("""COMPUTED_VALUE"""),3925)</f>
        <v>3925</v>
      </c>
      <c r="U113" t="str">
        <f ca="1">IFERROR(__xludf.DUMMYFUNCTION("""COMPUTED_VALUE"""),"31.10.2022 ДР")</f>
        <v>31.10.2022 ДР</v>
      </c>
      <c r="Z113" t="str">
        <f ca="1">IFERROR(__xludf.DUMMYFUNCTION("""COMPUTED_VALUE"""),"ООО «КЕРРИЛАЙН»")</f>
        <v>ООО «КЕРРИЛАЙН»</v>
      </c>
      <c r="AA113" t="str">
        <f ca="1">IFERROR(__xludf.DUMMYFUNCTION("""COMPUTED_VALUE"""),"11-274-01")</f>
        <v>11-274-01</v>
      </c>
      <c r="AB113" t="str">
        <f ca="1">IFERROR(__xludf.DUMMYFUNCTION("""COMPUTED_VALUE"""),"48 ДОН")</f>
        <v>48 ДОН</v>
      </c>
      <c r="AC113" t="str">
        <f ca="1">IFERROR(__xludf.DUMMYFUNCTION("""COMPUTED_VALUE"""),"49200 СЛАВЯНСК")</f>
        <v>49200 СЛАВЯНСК</v>
      </c>
      <c r="AD113" t="str">
        <f ca="1">IFERROR(__xludf.DUMMYFUNCTION("""COMPUTED_VALUE"""),"02.06.21 08-00")</f>
        <v>02.06.21 08-00</v>
      </c>
      <c r="AE113" t="str">
        <f ca="1">IFERROR(__xludf.DUMMYFUNCTION("""COMPUTED_VALUE"""),"102 ТOНКИЙ ГPEБEНЬ")</f>
        <v>102 ТOНКИЙ ГPEБEНЬ</v>
      </c>
      <c r="AF113" t="str">
        <f ca="1">IFERROR(__xludf.DUMMYFUNCTION("""COMPUTED_VALUE"""),"48 ДОН")</f>
        <v>48 ДОН</v>
      </c>
      <c r="AG113" t="str">
        <f ca="1">IFERROR(__xludf.DUMMYFUNCTION("""COMPUTED_VALUE"""),"48200 ПОКРОВСК")</f>
        <v>48200 ПОКРОВСК</v>
      </c>
      <c r="AH113" t="str">
        <f ca="1">IFERROR(__xludf.DUMMYFUNCTION("""COMPUTED_VALUE"""),"31.10.19 12-00")</f>
        <v>31.10.19 12-00</v>
      </c>
      <c r="AI113" s="21">
        <f ca="1">IFERROR(__xludf.DUMMYFUNCTION("""COMPUTED_VALUE"""),44420.357662037)</f>
        <v>44420.357662037</v>
      </c>
    </row>
    <row r="114" spans="1:35" ht="13" x14ac:dyDescent="0.15">
      <c r="A114">
        <f ca="1">IFERROR(__xludf.DUMMYFUNCTION("""COMPUTED_VALUE"""),304)</f>
        <v>304</v>
      </c>
      <c r="B114" t="str">
        <f ca="1">IFERROR(__xludf.DUMMYFUNCTION("""COMPUTED_VALUE"""),"Промдримлайт")</f>
        <v>Промдримлайт</v>
      </c>
      <c r="C114" t="str">
        <f ca="1">IFERROR(__xludf.DUMMYFUNCTION("""COMPUTED_VALUE"""),"Керрилайн 64 ")</f>
        <v xml:space="preserve">Керрилайн 64 </v>
      </c>
      <c r="D114">
        <f ca="1">IFERROR(__xludf.DUMMYFUNCTION("""COMPUTED_VALUE"""),52708385)</f>
        <v>52708385</v>
      </c>
      <c r="E114" t="str">
        <f ca="1">IFERROR(__xludf.DUMMYFUNCTION("""COMPUTED_VALUE"""),"20 КРЫТЫЕ")</f>
        <v>20 КРЫТЫЕ</v>
      </c>
      <c r="F114">
        <f ca="1">IFERROR(__xludf.DUMMYFUNCTION("""COMPUTED_VALUE"""),42103)</f>
        <v>42103</v>
      </c>
      <c r="G114" t="str">
        <f ca="1">IFERROR(__xludf.DUMMYFUNCTION("""COMPUTED_VALUE"""),"ВАГОНЫ ЖД СВ")</f>
        <v>ВАГОНЫ ЖД СВ</v>
      </c>
      <c r="H114">
        <f ca="1">IFERROR(__xludf.DUMMYFUNCTION("""COMPUTED_VALUE"""),0)</f>
        <v>0</v>
      </c>
      <c r="I114">
        <f ca="1">IFERROR(__xludf.DUMMYFUNCTION("""COMPUTED_VALUE"""),3209)</f>
        <v>3209</v>
      </c>
      <c r="J114" t="str">
        <f ca="1">IFERROR(__xludf.DUMMYFUNCTION("""COMPUTED_VALUE"""),"5555 (46000-659-00050) ЗАПОРОЖ-ЛЕВ -")</f>
        <v>5555 (46000-659-00050) ЗАПОРОЖ-ЛЕВ -</v>
      </c>
      <c r="K114">
        <f ca="1">IFERROR(__xludf.DUMMYFUNCTION("""COMPUTED_VALUE"""),46000)</f>
        <v>46000</v>
      </c>
      <c r="L114" t="str">
        <f ca="1">IFERROR(__xludf.DUMMYFUNCTION("""COMPUTED_VALUE"""),"ЗАПОРОЖ-ЛЕВ")</f>
        <v>ЗАПОРОЖ-ЛЕВ</v>
      </c>
      <c r="M114" t="str">
        <f ca="1">IFERROR(__xludf.DUMMYFUNCTION("""COMPUTED_VALUE"""),"06.08.21 18-15")</f>
        <v>06.08.21 18-15</v>
      </c>
      <c r="N114" t="str">
        <f ca="1">IFERROR(__xludf.DUMMYFUNCTION("""COMPUTED_VALUE"""),"98 ОТОТ")</f>
        <v>98 ОТОТ</v>
      </c>
      <c r="O114">
        <f ca="1">IFERROR(__xludf.DUMMYFUNCTION("""COMPUTED_VALUE"""),46000)</f>
        <v>46000</v>
      </c>
      <c r="P114" t="str">
        <f ca="1">IFERROR(__xludf.DUMMYFUNCTION("""COMPUTED_VALUE"""),"ЗАПОРОЖ-ЛЕВ")</f>
        <v>ЗАПОРОЖ-ЛЕВ</v>
      </c>
      <c r="Q114">
        <f ca="1">IFERROR(__xludf.DUMMYFUNCTION("""COMPUTED_VALUE"""),49200)</f>
        <v>49200</v>
      </c>
      <c r="R114" t="str">
        <f ca="1">IFERROR(__xludf.DUMMYFUNCTION("""COMPUTED_VALUE"""),"СЛАВЯНСК")</f>
        <v>СЛАВЯНСК</v>
      </c>
      <c r="S114" t="str">
        <f ca="1">IFERROR(__xludf.DUMMYFUNCTION("""COMPUTED_VALUE"""),"02.08.21 19-30")</f>
        <v>02.08.21 19-30</v>
      </c>
      <c r="T114">
        <f ca="1">IFERROR(__xludf.DUMMYFUNCTION("""COMPUTED_VALUE"""),9785)</f>
        <v>9785</v>
      </c>
      <c r="U114" t="str">
        <f ca="1">IFERROR(__xludf.DUMMYFUNCTION("""COMPUTED_VALUE"""),"22.07.2023 ДР")</f>
        <v>22.07.2023 ДР</v>
      </c>
      <c r="Z114" t="str">
        <f ca="1">IFERROR(__xludf.DUMMYFUNCTION("""COMPUTED_VALUE"""),"ООО «КЕРРИЛАЙН»")</f>
        <v>ООО «КЕРРИЛАЙН»</v>
      </c>
      <c r="AA114" t="str">
        <f ca="1">IFERROR(__xludf.DUMMYFUNCTION("""COMPUTED_VALUE"""),"11-274-01")</f>
        <v>11-274-01</v>
      </c>
      <c r="AB114" t="str">
        <f ca="1">IFERROR(__xludf.DUMMYFUNCTION("""COMPUTED_VALUE"""),"48 ДОН")</f>
        <v>48 ДОН</v>
      </c>
      <c r="AC114" t="str">
        <f ca="1">IFERROR(__xludf.DUMMYFUNCTION("""COMPUTED_VALUE"""),"49200 СЛАВЯНСК")</f>
        <v>49200 СЛАВЯНСК</v>
      </c>
      <c r="AD114" t="str">
        <f ca="1">IFERROR(__xludf.DUMMYFUNCTION("""COMPUTED_VALUE"""),"24.05.21 15-00")</f>
        <v>24.05.21 15-00</v>
      </c>
      <c r="AE114" t="str">
        <f ca="1">IFERROR(__xludf.DUMMYFUNCTION("""COMPUTED_VALUE"""),"102 ТOНКИЙ ГPEБEНЬ")</f>
        <v>102 ТOНКИЙ ГPEБEНЬ</v>
      </c>
      <c r="AF114" t="str">
        <f ca="1">IFERROR(__xludf.DUMMYFUNCTION("""COMPUTED_VALUE"""),"48 ДОН")</f>
        <v>48 ДОН</v>
      </c>
      <c r="AG114" t="str">
        <f ca="1">IFERROR(__xludf.DUMMYFUNCTION("""COMPUTED_VALUE"""),"49200 СЛАВЯНСК")</f>
        <v>49200 СЛАВЯНСК</v>
      </c>
      <c r="AH114" t="str">
        <f ca="1">IFERROR(__xludf.DUMMYFUNCTION("""COMPUTED_VALUE"""),"02.08.21 17-00")</f>
        <v>02.08.21 17-00</v>
      </c>
      <c r="AI114" s="21">
        <f ca="1">IFERROR(__xludf.DUMMYFUNCTION("""COMPUTED_VALUE"""),44420.357662037)</f>
        <v>44420.357662037</v>
      </c>
    </row>
    <row r="115" spans="1:35" ht="13" x14ac:dyDescent="0.15">
      <c r="A115">
        <f ca="1">IFERROR(__xludf.DUMMYFUNCTION("""COMPUTED_VALUE"""),305)</f>
        <v>305</v>
      </c>
      <c r="B115" t="str">
        <f ca="1">IFERROR(__xludf.DUMMYFUNCTION("""COMPUTED_VALUE"""),"Кнауф")</f>
        <v>Кнауф</v>
      </c>
      <c r="C115" t="str">
        <f ca="1">IFERROR(__xludf.DUMMYFUNCTION("""COMPUTED_VALUE"""),"Керрилайн РФ")</f>
        <v>Керрилайн РФ</v>
      </c>
      <c r="D115">
        <f ca="1">IFERROR(__xludf.DUMMYFUNCTION("""COMPUTED_VALUE"""),52599206)</f>
        <v>52599206</v>
      </c>
      <c r="E115" t="str">
        <f ca="1">IFERROR(__xludf.DUMMYFUNCTION("""COMPUTED_VALUE"""),"20 КРЫТЫЕ")</f>
        <v>20 КРЫТЫЕ</v>
      </c>
      <c r="F115">
        <f ca="1">IFERROR(__xludf.DUMMYFUNCTION("""COMPUTED_VALUE"""),23304)</f>
        <v>23304</v>
      </c>
      <c r="G115" t="str">
        <f ca="1">IFERROR(__xludf.DUMMYFUNCTION("""COMPUTED_VALUE"""),"ГИПС ПР")</f>
        <v>ГИПС ПР</v>
      </c>
      <c r="H115">
        <f ca="1">IFERROR(__xludf.DUMMYFUNCTION("""COMPUTED_VALUE"""),67)</f>
        <v>67</v>
      </c>
      <c r="I115">
        <f ca="1">IFERROR(__xludf.DUMMYFUNCTION("""COMPUTED_VALUE"""),4014)</f>
        <v>4014</v>
      </c>
      <c r="J115" t="str">
        <f ca="1">IFERROR(__xludf.DUMMYFUNCTION("""COMPUTED_VALUE"""),"1111 (38850-064-36660) ХРЫПЛИН - ЧЕРНОВЦЫ")</f>
        <v>1111 (38850-064-36660) ХРЫПЛИН - ЧЕРНОВЦЫ</v>
      </c>
      <c r="K115">
        <f ca="1">IFERROR(__xludf.DUMMYFUNCTION("""COMPUTED_VALUE"""),38850)</f>
        <v>38850</v>
      </c>
      <c r="L115" t="str">
        <f ca="1">IFERROR(__xludf.DUMMYFUNCTION("""COMPUTED_VALUE"""),"ХРЫПЛИН")</f>
        <v>ХРЫПЛИН</v>
      </c>
      <c r="M115" t="str">
        <f ca="1">IFERROR(__xludf.DUMMYFUNCTION("""COMPUTED_VALUE"""),"12.08.21 05-43")</f>
        <v>12.08.21 05-43</v>
      </c>
      <c r="N115" t="str">
        <f ca="1">IFERROR(__xludf.DUMMYFUNCTION("""COMPUTED_VALUE"""),"04 РАСФ")</f>
        <v>04 РАСФ</v>
      </c>
      <c r="O115">
        <f ca="1">IFERROR(__xludf.DUMMYFUNCTION("""COMPUTED_VALUE"""),36820)</f>
        <v>36820</v>
      </c>
      <c r="P115" t="str">
        <f ca="1">IFERROR(__xludf.DUMMYFUNCTION("""COMPUTED_VALUE"""),"ЧЕРНОВЦЫ-ЮЖН")</f>
        <v>ЧЕРНОВЦЫ-ЮЖН</v>
      </c>
      <c r="Q115">
        <f ca="1">IFERROR(__xludf.DUMMYFUNCTION("""COMPUTED_VALUE"""),49620)</f>
        <v>49620</v>
      </c>
      <c r="R115" t="str">
        <f ca="1">IFERROR(__xludf.DUMMYFUNCTION("""COMPUTED_VALUE"""),"ДЕКОНСКАЯ")</f>
        <v>ДЕКОНСКАЯ</v>
      </c>
      <c r="S115" t="str">
        <f ca="1">IFERROR(__xludf.DUMMYFUNCTION("""COMPUTED_VALUE"""),"04.08.21 11-30")</f>
        <v>04.08.21 11-30</v>
      </c>
      <c r="T115">
        <f ca="1">IFERROR(__xludf.DUMMYFUNCTION("""COMPUTED_VALUE"""),4149)</f>
        <v>4149</v>
      </c>
      <c r="U115" t="str">
        <f ca="1">IFERROR(__xludf.DUMMYFUNCTION("""COMPUTED_VALUE"""),"10.03.2024 КР")</f>
        <v>10.03.2024 КР</v>
      </c>
      <c r="Z115" t="str">
        <f ca="1">IFERROR(__xludf.DUMMYFUNCTION("""COMPUTED_VALUE"""),"ООО «КЕРРИЛАЙН»")</f>
        <v>ООО «КЕРРИЛАЙН»</v>
      </c>
      <c r="AA115" t="str">
        <f ca="1">IFERROR(__xludf.DUMMYFUNCTION("""COMPUTED_VALUE"""),"11-259")</f>
        <v>11-259</v>
      </c>
      <c r="AB115" t="str">
        <f ca="1">IFERROR(__xludf.DUMMYFUNCTION("""COMPUTED_VALUE"""),"45 ПРИДН")</f>
        <v>45 ПРИДН</v>
      </c>
      <c r="AC115" t="str">
        <f ca="1">IFERROR(__xludf.DUMMYFUNCTION("""COMPUTED_VALUE"""),"47600 МЕЛИТОПОЛЬ")</f>
        <v>47600 МЕЛИТОПОЛЬ</v>
      </c>
      <c r="AD115" t="str">
        <f ca="1">IFERROR(__xludf.DUMMYFUNCTION("""COMPUTED_VALUE"""),"09.02.21 07-59")</f>
        <v>09.02.21 07-59</v>
      </c>
      <c r="AE115" t="str">
        <f ca="1">IFERROR(__xludf.DUMMYFUNCTION("""COMPUTED_VALUE"""),"570 ИCТEК КAЛЕНДАРНЫЙ CPOК ДEПOВCКОГО PEМOНТA")</f>
        <v>570 ИCТEК КAЛЕНДАРНЫЙ CPOК ДEПOВCКОГО PEМOНТA</v>
      </c>
      <c r="AF115" t="str">
        <f ca="1">IFERROR(__xludf.DUMMYFUNCTION("""COMPUTED_VALUE"""),"45 ПРИДН")</f>
        <v>45 ПРИДН</v>
      </c>
      <c r="AG115" t="str">
        <f ca="1">IFERROR(__xludf.DUMMYFUNCTION("""COMPUTED_VALUE"""),"47600 МЕЛИТОПОЛЬ")</f>
        <v>47600 МЕЛИТОПОЛЬ</v>
      </c>
      <c r="AH115" t="str">
        <f ca="1">IFERROR(__xludf.DUMMYFUNCTION("""COMPUTED_VALUE"""),"10.03.21 14-10")</f>
        <v>10.03.21 14-10</v>
      </c>
      <c r="AI115" s="21">
        <f ca="1">IFERROR(__xludf.DUMMYFUNCTION("""COMPUTED_VALUE"""),44420.357662037)</f>
        <v>44420.357662037</v>
      </c>
    </row>
    <row r="116" spans="1:35" ht="13" x14ac:dyDescent="0.15">
      <c r="A116">
        <f ca="1">IFERROR(__xludf.DUMMYFUNCTION("""COMPUTED_VALUE"""),306)</f>
        <v>306</v>
      </c>
      <c r="B116" t="str">
        <f ca="1">IFERROR(__xludf.DUMMYFUNCTION("""COMPUTED_VALUE"""),"Кнауф")</f>
        <v>Кнауф</v>
      </c>
      <c r="C116" t="str">
        <f ca="1">IFERROR(__xludf.DUMMYFUNCTION("""COMPUTED_VALUE"""),"Керрилайн РФ")</f>
        <v>Керрилайн РФ</v>
      </c>
      <c r="D116">
        <f ca="1">IFERROR(__xludf.DUMMYFUNCTION("""COMPUTED_VALUE"""),52690161)</f>
        <v>52690161</v>
      </c>
      <c r="E116" t="str">
        <f ca="1">IFERROR(__xludf.DUMMYFUNCTION("""COMPUTED_VALUE"""),"28 КРЫТЫЕ_138")</f>
        <v>28 КРЫТЫЕ_138</v>
      </c>
      <c r="F116">
        <f ca="1">IFERROR(__xludf.DUMMYFUNCTION("""COMPUTED_VALUE"""),42103)</f>
        <v>42103</v>
      </c>
      <c r="G116" t="str">
        <f ca="1">IFERROR(__xludf.DUMMYFUNCTION("""COMPUTED_VALUE"""),"ВАГОНЫ ЖД СВ")</f>
        <v>ВАГОНЫ ЖД СВ</v>
      </c>
      <c r="H116">
        <f ca="1">IFERROR(__xludf.DUMMYFUNCTION("""COMPUTED_VALUE"""),0)</f>
        <v>0</v>
      </c>
      <c r="I116">
        <f ca="1">IFERROR(__xludf.DUMMYFUNCTION("""COMPUTED_VALUE"""),4149)</f>
        <v>4149</v>
      </c>
      <c r="J116" t="str">
        <f ca="1">IFERROR(__xludf.DUMMYFUNCTION("""COMPUTED_VALUE"""),"5555 (49000-754-00080) ЛИМАН -")</f>
        <v>5555 (49000-754-00080) ЛИМАН -</v>
      </c>
      <c r="K116">
        <f ca="1">IFERROR(__xludf.DUMMYFUNCTION("""COMPUTED_VALUE"""),49000)</f>
        <v>49000</v>
      </c>
      <c r="L116" t="str">
        <f ca="1">IFERROR(__xludf.DUMMYFUNCTION("""COMPUTED_VALUE"""),"ЛИМАН")</f>
        <v>ЛИМАН</v>
      </c>
      <c r="M116" t="str">
        <f ca="1">IFERROR(__xludf.DUMMYFUNCTION("""COMPUTED_VALUE"""),"11.08.21 17-37")</f>
        <v>11.08.21 17-37</v>
      </c>
      <c r="N116" t="str">
        <f ca="1">IFERROR(__xludf.DUMMYFUNCTION("""COMPUTED_VALUE"""),"04 РАСФ")</f>
        <v>04 РАСФ</v>
      </c>
      <c r="O116">
        <f ca="1">IFERROR(__xludf.DUMMYFUNCTION("""COMPUTED_VALUE"""),49620)</f>
        <v>49620</v>
      </c>
      <c r="P116" t="str">
        <f ca="1">IFERROR(__xludf.DUMMYFUNCTION("""COMPUTED_VALUE"""),"ДЕКОНСКАЯ")</f>
        <v>ДЕКОНСКАЯ</v>
      </c>
      <c r="Q116">
        <f ca="1">IFERROR(__xludf.DUMMYFUNCTION("""COMPUTED_VALUE"""),49210)</f>
        <v>49210</v>
      </c>
      <c r="R116" t="str">
        <f ca="1">IFERROR(__xludf.DUMMYFUNCTION("""COMPUTED_VALUE"""),"СЛАВЯНСК-ВЕТ")</f>
        <v>СЛАВЯНСК-ВЕТ</v>
      </c>
      <c r="S116" t="str">
        <f ca="1">IFERROR(__xludf.DUMMYFUNCTION("""COMPUTED_VALUE"""),"10.08.21 10-40")</f>
        <v>10.08.21 10-40</v>
      </c>
      <c r="T116">
        <f ca="1">IFERROR(__xludf.DUMMYFUNCTION("""COMPUTED_VALUE"""),8200)</f>
        <v>8200</v>
      </c>
      <c r="U116" t="str">
        <f ca="1">IFERROR(__xludf.DUMMYFUNCTION("""COMPUTED_VALUE"""),"17.02.2024 КР")</f>
        <v>17.02.2024 КР</v>
      </c>
      <c r="Z116" t="str">
        <f ca="1">IFERROR(__xludf.DUMMYFUNCTION("""COMPUTED_VALUE"""),"ООО «КЕРРИЛАЙН»")</f>
        <v>ООО «КЕРРИЛАЙН»</v>
      </c>
      <c r="AA116" t="str">
        <f ca="1">IFERROR(__xludf.DUMMYFUNCTION("""COMPUTED_VALUE"""),"11-286")</f>
        <v>11-286</v>
      </c>
      <c r="AB116" t="str">
        <f ca="1">IFERROR(__xludf.DUMMYFUNCTION("""COMPUTED_VALUE"""),"45 ПРИДН")</f>
        <v>45 ПРИДН</v>
      </c>
      <c r="AC116" t="str">
        <f ca="1">IFERROR(__xludf.DUMMYFUNCTION("""COMPUTED_VALUE"""),"47600 МЕЛИТОПОЛЬ")</f>
        <v>47600 МЕЛИТОПОЛЬ</v>
      </c>
      <c r="AD116" t="str">
        <f ca="1">IFERROR(__xludf.DUMMYFUNCTION("""COMPUTED_VALUE"""),"09.02.21 07-59")</f>
        <v>09.02.21 07-59</v>
      </c>
      <c r="AE116" t="str">
        <f ca="1">IFERROR(__xludf.DUMMYFUNCTION("""COMPUTED_VALUE"""),"570 ИCТEК КAЛЕНДАРНЫЙ CPOК ДEПOВCКОГО PEМOНТA")</f>
        <v>570 ИCТEК КAЛЕНДАРНЫЙ CPOК ДEПOВCКОГО PEМOНТA</v>
      </c>
      <c r="AF116" t="str">
        <f ca="1">IFERROR(__xludf.DUMMYFUNCTION("""COMPUTED_VALUE"""),"45 ПРИДН")</f>
        <v>45 ПРИДН</v>
      </c>
      <c r="AG116" t="str">
        <f ca="1">IFERROR(__xludf.DUMMYFUNCTION("""COMPUTED_VALUE"""),"47600 МЕЛИТОПОЛЬ")</f>
        <v>47600 МЕЛИТОПОЛЬ</v>
      </c>
      <c r="AH116" t="str">
        <f ca="1">IFERROR(__xludf.DUMMYFUNCTION("""COMPUTED_VALUE"""),"17.02.21 15-10")</f>
        <v>17.02.21 15-10</v>
      </c>
      <c r="AI116" s="21">
        <f ca="1">IFERROR(__xludf.DUMMYFUNCTION("""COMPUTED_VALUE"""),44420.357662037)</f>
        <v>44420.357662037</v>
      </c>
    </row>
    <row r="117" spans="1:35" ht="13" x14ac:dyDescent="0.15">
      <c r="A117">
        <f ca="1">IFERROR(__xludf.DUMMYFUNCTION("""COMPUTED_VALUE"""),307)</f>
        <v>307</v>
      </c>
      <c r="B117" t="str">
        <f ca="1">IFERROR(__xludf.DUMMYFUNCTION("""COMPUTED_VALUE"""),"Кнауф")</f>
        <v>Кнауф</v>
      </c>
      <c r="C117" t="str">
        <f ca="1">IFERROR(__xludf.DUMMYFUNCTION("""COMPUTED_VALUE"""),"Керрилайн")</f>
        <v>Керрилайн</v>
      </c>
      <c r="D117">
        <f ca="1">IFERROR(__xludf.DUMMYFUNCTION("""COMPUTED_VALUE"""),52142627)</f>
        <v>52142627</v>
      </c>
      <c r="E117" t="str">
        <f ca="1">IFERROR(__xludf.DUMMYFUNCTION("""COMPUTED_VALUE"""),"28 КРЫТЫЕ_138")</f>
        <v>28 КРЫТЫЕ_138</v>
      </c>
      <c r="F117">
        <f ca="1">IFERROR(__xludf.DUMMYFUNCTION("""COMPUTED_VALUE"""),42103)</f>
        <v>42103</v>
      </c>
      <c r="G117" t="str">
        <f ca="1">IFERROR(__xludf.DUMMYFUNCTION("""COMPUTED_VALUE"""),"ВАГОНЫ ЖД СВ")</f>
        <v>ВАГОНЫ ЖД СВ</v>
      </c>
      <c r="H117">
        <f ca="1">IFERROR(__xludf.DUMMYFUNCTION("""COMPUTED_VALUE"""),0)</f>
        <v>0</v>
      </c>
      <c r="I117">
        <f ca="1">IFERROR(__xludf.DUMMYFUNCTION("""COMPUTED_VALUE"""),8199)</f>
        <v>8199</v>
      </c>
      <c r="J117" t="str">
        <f ca="1">IFERROR(__xludf.DUMMYFUNCTION("""COMPUTED_VALUE"""),"2001 (37040-259-38830) КЛЕПАРОВ - ЯМНИЦА")</f>
        <v>2001 (37040-259-38830) КЛЕПАРОВ - ЯМНИЦА</v>
      </c>
      <c r="K117">
        <f ca="1">IFERROR(__xludf.DUMMYFUNCTION("""COMPUTED_VALUE"""),38830)</f>
        <v>38830</v>
      </c>
      <c r="L117" t="str">
        <f ca="1">IFERROR(__xludf.DUMMYFUNCTION("""COMPUTED_VALUE"""),"ЯМНИЦА")</f>
        <v>ЯМНИЦА</v>
      </c>
      <c r="M117" t="str">
        <f ca="1">IFERROR(__xludf.DUMMYFUNCTION("""COMPUTED_VALUE"""),"11.08.21 06-00")</f>
        <v>11.08.21 06-00</v>
      </c>
      <c r="N117" t="str">
        <f ca="1">IFERROR(__xludf.DUMMYFUNCTION("""COMPUTED_VALUE"""),"98 ОТОТ")</f>
        <v>98 ОТОТ</v>
      </c>
      <c r="O117">
        <f ca="1">IFERROR(__xludf.DUMMYFUNCTION("""COMPUTED_VALUE"""),38830)</f>
        <v>38830</v>
      </c>
      <c r="P117" t="str">
        <f ca="1">IFERROR(__xludf.DUMMYFUNCTION("""COMPUTED_VALUE"""),"ЯМНИЦА")</f>
        <v>ЯМНИЦА</v>
      </c>
      <c r="Q117">
        <f ca="1">IFERROR(__xludf.DUMMYFUNCTION("""COMPUTED_VALUE"""),35660)</f>
        <v>35660</v>
      </c>
      <c r="R117" t="str">
        <f ca="1">IFERROR(__xludf.DUMMYFUNCTION("""COMPUTED_VALUE"""),"РОВНО")</f>
        <v>РОВНО</v>
      </c>
      <c r="S117" t="str">
        <f ca="1">IFERROR(__xludf.DUMMYFUNCTION("""COMPUTED_VALUE"""),"02.08.21 15-20")</f>
        <v>02.08.21 15-20</v>
      </c>
      <c r="T117">
        <f ca="1">IFERROR(__xludf.DUMMYFUNCTION("""COMPUTED_VALUE"""),8200)</f>
        <v>8200</v>
      </c>
      <c r="U117" t="str">
        <f ca="1">IFERROR(__xludf.DUMMYFUNCTION("""COMPUTED_VALUE"""),"16.08.2022 КР")</f>
        <v>16.08.2022 КР</v>
      </c>
      <c r="Z117" t="str">
        <f ca="1">IFERROR(__xludf.DUMMYFUNCTION("""COMPUTED_VALUE"""),"ООО «КЕРРИЛАЙН»")</f>
        <v>ООО «КЕРРИЛАЙН»</v>
      </c>
      <c r="AA117" t="str">
        <f ca="1">IFERROR(__xludf.DUMMYFUNCTION("""COMPUTED_VALUE"""),"11-286")</f>
        <v>11-286</v>
      </c>
      <c r="AB117" t="str">
        <f ca="1">IFERROR(__xludf.DUMMYFUNCTION("""COMPUTED_VALUE"""),"43 ЮЖН")</f>
        <v>43 ЮЖН</v>
      </c>
      <c r="AC117" t="str">
        <f ca="1">IFERROR(__xludf.DUMMYFUNCTION("""COMPUTED_VALUE"""),"44020 ОСНОВА")</f>
        <v>44020 ОСНОВА</v>
      </c>
      <c r="AD117" t="str">
        <f ca="1">IFERROR(__xludf.DUMMYFUNCTION("""COMPUTED_VALUE"""),"06.06.21 09-00")</f>
        <v>06.06.21 09-00</v>
      </c>
      <c r="AE117" t="str">
        <f ca="1">IFERROR(__xludf.DUMMYFUNCTION("""COMPUTED_VALUE"""),"537 НEИCПPAВНOCТЬ ЗAПOPA ДВEPИ")</f>
        <v>537 НEИCПPAВНOCТЬ ЗAПOPA ДВEPИ</v>
      </c>
      <c r="AF117" t="str">
        <f ca="1">IFERROR(__xludf.DUMMYFUNCTION("""COMPUTED_VALUE"""),"43 ЮЖН")</f>
        <v>43 ЮЖН</v>
      </c>
      <c r="AG117" t="str">
        <f ca="1">IFERROR(__xludf.DUMMYFUNCTION("""COMPUTED_VALUE"""),"44020 ОСНОВА")</f>
        <v>44020 ОСНОВА</v>
      </c>
      <c r="AH117" t="str">
        <f ca="1">IFERROR(__xludf.DUMMYFUNCTION("""COMPUTED_VALUE"""),"08.06.21 17-15")</f>
        <v>08.06.21 17-15</v>
      </c>
      <c r="AI117" s="21">
        <f ca="1">IFERROR(__xludf.DUMMYFUNCTION("""COMPUTED_VALUE"""),44420.357662037)</f>
        <v>44420.357662037</v>
      </c>
    </row>
    <row r="118" spans="1:35" ht="13" x14ac:dyDescent="0.15">
      <c r="A118">
        <f ca="1">IFERROR(__xludf.DUMMYFUNCTION("""COMPUTED_VALUE"""),308)</f>
        <v>308</v>
      </c>
      <c r="B118" t="str">
        <f ca="1">IFERROR(__xludf.DUMMYFUNCTION("""COMPUTED_VALUE"""),"Кнауф")</f>
        <v>Кнауф</v>
      </c>
      <c r="C118" t="str">
        <f ca="1">IFERROR(__xludf.DUMMYFUNCTION("""COMPUTED_VALUE"""),"Керрилайн")</f>
        <v>Керрилайн</v>
      </c>
      <c r="D118">
        <f ca="1">IFERROR(__xludf.DUMMYFUNCTION("""COMPUTED_VALUE"""),52413556)</f>
        <v>52413556</v>
      </c>
      <c r="E118" t="str">
        <f ca="1">IFERROR(__xludf.DUMMYFUNCTION("""COMPUTED_VALUE"""),"20 КРЫТЫЕ")</f>
        <v>20 КРЫТЫЕ</v>
      </c>
      <c r="F118">
        <f ca="1">IFERROR(__xludf.DUMMYFUNCTION("""COMPUTED_VALUE"""),42103)</f>
        <v>42103</v>
      </c>
      <c r="G118" t="str">
        <f ca="1">IFERROR(__xludf.DUMMYFUNCTION("""COMPUTED_VALUE"""),"ВАГОНЫ ЖД СВ")</f>
        <v>ВАГОНЫ ЖД СВ</v>
      </c>
      <c r="H118">
        <f ca="1">IFERROR(__xludf.DUMMYFUNCTION("""COMPUTED_VALUE"""),0)</f>
        <v>0</v>
      </c>
      <c r="I118">
        <f ca="1">IFERROR(__xludf.DUMMYFUNCTION("""COMPUTED_VALUE"""),4149)</f>
        <v>4149</v>
      </c>
      <c r="J118" t="str">
        <f ca="1">IFERROR(__xludf.DUMMYFUNCTION("""COMPUTED_VALUE"""),"3804 (49640-065-49620)  - ДЕКОНСКАЯ")</f>
        <v>3804 (49640-065-49620)  - ДЕКОНСКАЯ</v>
      </c>
      <c r="K118">
        <f ca="1">IFERROR(__xludf.DUMMYFUNCTION("""COMPUTED_VALUE"""),49620)</f>
        <v>49620</v>
      </c>
      <c r="L118" t="str">
        <f ca="1">IFERROR(__xludf.DUMMYFUNCTION("""COMPUTED_VALUE"""),"ДЕКОНСКАЯ")</f>
        <v>ДЕКОНСКАЯ</v>
      </c>
      <c r="M118" t="str">
        <f ca="1">IFERROR(__xludf.DUMMYFUNCTION("""COMPUTED_VALUE"""),"09.08.21 21-00")</f>
        <v>09.08.21 21-00</v>
      </c>
      <c r="N118" t="str">
        <f ca="1">IFERROR(__xludf.DUMMYFUNCTION("""COMPUTED_VALUE"""),"98 ОТОТ")</f>
        <v>98 ОТОТ</v>
      </c>
      <c r="O118">
        <f ca="1">IFERROR(__xludf.DUMMYFUNCTION("""COMPUTED_VALUE"""),49620)</f>
        <v>49620</v>
      </c>
      <c r="P118" t="str">
        <f ca="1">IFERROR(__xludf.DUMMYFUNCTION("""COMPUTED_VALUE"""),"ДЕКОНСКАЯ")</f>
        <v>ДЕКОНСКАЯ</v>
      </c>
      <c r="Q118">
        <f ca="1">IFERROR(__xludf.DUMMYFUNCTION("""COMPUTED_VALUE"""),32500)</f>
        <v>32500</v>
      </c>
      <c r="R118" t="str">
        <f ca="1">IFERROR(__xludf.DUMMYFUNCTION("""COMPUTED_VALUE"""),"ЧЕРНИГОВ")</f>
        <v>ЧЕРНИГОВ</v>
      </c>
      <c r="S118" t="str">
        <f ca="1">IFERROR(__xludf.DUMMYFUNCTION("""COMPUTED_VALUE"""),"27.07.21 11-40")</f>
        <v>27.07.21 11-40</v>
      </c>
      <c r="T118">
        <f ca="1">IFERROR(__xludf.DUMMYFUNCTION("""COMPUTED_VALUE"""),8691)</f>
        <v>8691</v>
      </c>
      <c r="U118" t="str">
        <f ca="1">IFERROR(__xludf.DUMMYFUNCTION("""COMPUTED_VALUE"""),"31.12.2021 ДР")</f>
        <v>31.12.2021 ДР</v>
      </c>
      <c r="Z118" t="str">
        <f ca="1">IFERROR(__xludf.DUMMYFUNCTION("""COMPUTED_VALUE"""),"ООО «КЕРРИЛАЙН»")</f>
        <v>ООО «КЕРРИЛАЙН»</v>
      </c>
      <c r="AA118" t="str">
        <f ca="1">IFERROR(__xludf.DUMMYFUNCTION("""COMPUTED_VALUE"""),"11-270")</f>
        <v>11-270</v>
      </c>
      <c r="AB118" t="str">
        <f ca="1">IFERROR(__xludf.DUMMYFUNCTION("""COMPUTED_VALUE"""),"43 ЮЖН")</f>
        <v>43 ЮЖН</v>
      </c>
      <c r="AC118" t="str">
        <f ca="1">IFERROR(__xludf.DUMMYFUNCTION("""COMPUTED_VALUE"""),"44020 ОСНОВА")</f>
        <v>44020 ОСНОВА</v>
      </c>
      <c r="AD118" t="str">
        <f ca="1">IFERROR(__xludf.DUMMYFUNCTION("""COMPUTED_VALUE"""),"03.08.21 10-11")</f>
        <v>03.08.21 10-11</v>
      </c>
      <c r="AE118" t="str">
        <f ca="1">IFERROR(__xludf.DUMMYFUNCTION("""COMPUTED_VALUE"""),"537 НEИCПPAВНOCТЬ ЗAПOPA ДВEPИ")</f>
        <v>537 НEИCПPAВНOCТЬ ЗAПOPA ДВEPИ</v>
      </c>
      <c r="AF118" t="str">
        <f ca="1">IFERROR(__xludf.DUMMYFUNCTION("""COMPUTED_VALUE"""),"43 ЮЖН")</f>
        <v>43 ЮЖН</v>
      </c>
      <c r="AG118" t="str">
        <f ca="1">IFERROR(__xludf.DUMMYFUNCTION("""COMPUTED_VALUE"""),"44020 ОСНОВА")</f>
        <v>44020 ОСНОВА</v>
      </c>
      <c r="AH118" t="str">
        <f ca="1">IFERROR(__xludf.DUMMYFUNCTION("""COMPUTED_VALUE"""),"05.08.21 17-10")</f>
        <v>05.08.21 17-10</v>
      </c>
      <c r="AI118" s="21">
        <f ca="1">IFERROR(__xludf.DUMMYFUNCTION("""COMPUTED_VALUE"""),44420.357662037)</f>
        <v>44420.357662037</v>
      </c>
    </row>
    <row r="119" spans="1:35" ht="13" x14ac:dyDescent="0.15">
      <c r="A119">
        <f ca="1">IFERROR(__xludf.DUMMYFUNCTION("""COMPUTED_VALUE"""),309)</f>
        <v>309</v>
      </c>
      <c r="B119" t="str">
        <f ca="1">IFERROR(__xludf.DUMMYFUNCTION("""COMPUTED_VALUE"""),"Кнауф")</f>
        <v>Кнауф</v>
      </c>
      <c r="C119" t="str">
        <f ca="1">IFERROR(__xludf.DUMMYFUNCTION("""COMPUTED_VALUE"""),"Керрилайн")</f>
        <v>Керрилайн</v>
      </c>
      <c r="D119">
        <f ca="1">IFERROR(__xludf.DUMMYFUNCTION("""COMPUTED_VALUE"""),52537891)</f>
        <v>52537891</v>
      </c>
      <c r="E119" t="str">
        <f ca="1">IFERROR(__xludf.DUMMYFUNCTION("""COMPUTED_VALUE"""),"20 КРЫТЫЕ")</f>
        <v>20 КРЫТЫЕ</v>
      </c>
      <c r="F119">
        <f ca="1">IFERROR(__xludf.DUMMYFUNCTION("""COMPUTED_VALUE"""),23304)</f>
        <v>23304</v>
      </c>
      <c r="G119" t="str">
        <f ca="1">IFERROR(__xludf.DUMMYFUNCTION("""COMPUTED_VALUE"""),"ГИПС ПР")</f>
        <v>ГИПС ПР</v>
      </c>
      <c r="H119">
        <f ca="1">IFERROR(__xludf.DUMMYFUNCTION("""COMPUTED_VALUE"""),65)</f>
        <v>65</v>
      </c>
      <c r="I119">
        <f ca="1">IFERROR(__xludf.DUMMYFUNCTION("""COMPUTED_VALUE"""),5924)</f>
        <v>5924</v>
      </c>
      <c r="J119" t="str">
        <f ca="1">IFERROR(__xludf.DUMMYFUNCTION("""COMPUTED_VALUE"""),"4831 (49640-037-49460)  - БАХМУТ")</f>
        <v>4831 (49640-037-49460)  - БАХМУТ</v>
      </c>
      <c r="K119">
        <f ca="1">IFERROR(__xludf.DUMMYFUNCTION("""COMPUTED_VALUE"""),49460)</f>
        <v>49460</v>
      </c>
      <c r="L119" t="str">
        <f ca="1">IFERROR(__xludf.DUMMYFUNCTION("""COMPUTED_VALUE"""),"БАХМУТ")</f>
        <v>БАХМУТ</v>
      </c>
      <c r="M119" t="str">
        <f ca="1">IFERROR(__xludf.DUMMYFUNCTION("""COMPUTED_VALUE"""),"12.08.21 07-00")</f>
        <v>12.08.21 07-00</v>
      </c>
      <c r="N119" t="str">
        <f ca="1">IFERROR(__xludf.DUMMYFUNCTION("""COMPUTED_VALUE"""),"04 РАСФ")</f>
        <v>04 РАСФ</v>
      </c>
      <c r="O119">
        <f ca="1">IFERROR(__xludf.DUMMYFUNCTION("""COMPUTED_VALUE"""),37030)</f>
        <v>37030</v>
      </c>
      <c r="P119" t="str">
        <f ca="1">IFERROR(__xludf.DUMMYFUNCTION("""COMPUTED_VALUE"""),"СКНИЛОВ")</f>
        <v>СКНИЛОВ</v>
      </c>
      <c r="Q119">
        <f ca="1">IFERROR(__xludf.DUMMYFUNCTION("""COMPUTED_VALUE"""),49620)</f>
        <v>49620</v>
      </c>
      <c r="R119" t="str">
        <f ca="1">IFERROR(__xludf.DUMMYFUNCTION("""COMPUTED_VALUE"""),"ДЕКОНСКАЯ")</f>
        <v>ДЕКОНСКАЯ</v>
      </c>
      <c r="S119" t="str">
        <f ca="1">IFERROR(__xludf.DUMMYFUNCTION("""COMPUTED_VALUE"""),"11.08.21 20-10")</f>
        <v>11.08.21 20-10</v>
      </c>
      <c r="T119">
        <f ca="1">IFERROR(__xludf.DUMMYFUNCTION("""COMPUTED_VALUE"""),4149)</f>
        <v>4149</v>
      </c>
      <c r="U119" t="str">
        <f ca="1">IFERROR(__xludf.DUMMYFUNCTION("""COMPUTED_VALUE"""),"25.11.2021 ДР")</f>
        <v>25.11.2021 ДР</v>
      </c>
      <c r="Z119" t="str">
        <f ca="1">IFERROR(__xludf.DUMMYFUNCTION("""COMPUTED_VALUE"""),"ООО «КЕРРИЛАЙН»")</f>
        <v>ООО «КЕРРИЛАЙН»</v>
      </c>
      <c r="AA119" t="str">
        <f ca="1">IFERROR(__xludf.DUMMYFUNCTION("""COMPUTED_VALUE"""),"11-276")</f>
        <v>11-276</v>
      </c>
      <c r="AB119" t="str">
        <f ca="1">IFERROR(__xludf.DUMMYFUNCTION("""COMPUTED_VALUE"""),"45 ПРИДН")</f>
        <v>45 ПРИДН</v>
      </c>
      <c r="AC119" t="str">
        <f ca="1">IFERROR(__xludf.DUMMYFUNCTION("""COMPUTED_VALUE"""),"45000 НИЖНЕДН-УЗЕЛ")</f>
        <v>45000 НИЖНЕДН-УЗЕЛ</v>
      </c>
      <c r="AD119" t="str">
        <f ca="1">IFERROR(__xludf.DUMMYFUNCTION("""COMPUTED_VALUE"""),"27.06.20 02-25")</f>
        <v>27.06.20 02-25</v>
      </c>
      <c r="AE119" t="str">
        <f ca="1">IFERROR(__xludf.DUMMYFUNCTION("""COMPUTED_VALUE"""),"537 НEИCПPAВНOCТЬ ЗAПOPA ДВEPИ")</f>
        <v>537 НEИCПPAВНOCТЬ ЗAПOPA ДВEPИ</v>
      </c>
      <c r="AF119" t="str">
        <f ca="1">IFERROR(__xludf.DUMMYFUNCTION("""COMPUTED_VALUE"""),"45 ПРИДН")</f>
        <v>45 ПРИДН</v>
      </c>
      <c r="AG119" t="str">
        <f ca="1">IFERROR(__xludf.DUMMYFUNCTION("""COMPUTED_VALUE"""),"45000 НИЖНЕДН-УЗЕЛ")</f>
        <v>45000 НИЖНЕДН-УЗЕЛ</v>
      </c>
      <c r="AH119" t="str">
        <f ca="1">IFERROR(__xludf.DUMMYFUNCTION("""COMPUTED_VALUE"""),"09.07.20 16-30")</f>
        <v>09.07.20 16-30</v>
      </c>
      <c r="AI119" s="21">
        <f ca="1">IFERROR(__xludf.DUMMYFUNCTION("""COMPUTED_VALUE"""),44420.357662037)</f>
        <v>44420.357662037</v>
      </c>
    </row>
    <row r="120" spans="1:35" ht="13" x14ac:dyDescent="0.15">
      <c r="A120">
        <f ca="1">IFERROR(__xludf.DUMMYFUNCTION("""COMPUTED_VALUE"""),316)</f>
        <v>316</v>
      </c>
      <c r="B120" t="str">
        <f ca="1">IFERROR(__xludf.DUMMYFUNCTION("""COMPUTED_VALUE"""),"Кнауф")</f>
        <v>Кнауф</v>
      </c>
      <c r="C120" t="str">
        <f ca="1">IFERROR(__xludf.DUMMYFUNCTION("""COMPUTED_VALUE"""),"Керрилайн РФ")</f>
        <v>Керрилайн РФ</v>
      </c>
      <c r="D120">
        <f ca="1">IFERROR(__xludf.DUMMYFUNCTION("""COMPUTED_VALUE"""),52414703)</f>
        <v>52414703</v>
      </c>
      <c r="E120" t="str">
        <f ca="1">IFERROR(__xludf.DUMMYFUNCTION("""COMPUTED_VALUE"""),"20 КРЫТЫЕ")</f>
        <v>20 КРЫТЫЕ</v>
      </c>
      <c r="F120">
        <f ca="1">IFERROR(__xludf.DUMMYFUNCTION("""COMPUTED_VALUE"""),42103)</f>
        <v>42103</v>
      </c>
      <c r="G120" t="str">
        <f ca="1">IFERROR(__xludf.DUMMYFUNCTION("""COMPUTED_VALUE"""),"ВАГОНЫ ЖД СВ")</f>
        <v>ВАГОНЫ ЖД СВ</v>
      </c>
      <c r="H120">
        <f ca="1">IFERROR(__xludf.DUMMYFUNCTION("""COMPUTED_VALUE"""),0)</f>
        <v>0</v>
      </c>
      <c r="I120">
        <f ca="1">IFERROR(__xludf.DUMMYFUNCTION("""COMPUTED_VALUE"""),8199)</f>
        <v>8199</v>
      </c>
      <c r="J120" t="str">
        <f ca="1">IFERROR(__xludf.DUMMYFUNCTION("""COMPUTED_VALUE"""),"2222 (35780-005-35900) ЛУЦК - КИВЕРЦЫ")</f>
        <v>2222 (35780-005-35900) ЛУЦК - КИВЕРЦЫ</v>
      </c>
      <c r="K120">
        <f ca="1">IFERROR(__xludf.DUMMYFUNCTION("""COMPUTED_VALUE"""),35780)</f>
        <v>35780</v>
      </c>
      <c r="L120" t="str">
        <f ca="1">IFERROR(__xludf.DUMMYFUNCTION("""COMPUTED_VALUE"""),"ЛУЦК")</f>
        <v>ЛУЦК</v>
      </c>
      <c r="M120" t="str">
        <f ca="1">IFERROR(__xludf.DUMMYFUNCTION("""COMPUTED_VALUE"""),"12.08.21 08-10")</f>
        <v>12.08.21 08-10</v>
      </c>
      <c r="N120" t="str">
        <f ca="1">IFERROR(__xludf.DUMMYFUNCTION("""COMPUTED_VALUE"""),"05 ФОРМ")</f>
        <v>05 ФОРМ</v>
      </c>
      <c r="O120">
        <f ca="1">IFERROR(__xludf.DUMMYFUNCTION("""COMPUTED_VALUE"""),38830)</f>
        <v>38830</v>
      </c>
      <c r="P120" t="str">
        <f ca="1">IFERROR(__xludf.DUMMYFUNCTION("""COMPUTED_VALUE"""),"ЯМНИЦА")</f>
        <v>ЯМНИЦА</v>
      </c>
      <c r="Q120">
        <f ca="1">IFERROR(__xludf.DUMMYFUNCTION("""COMPUTED_VALUE"""),35780)</f>
        <v>35780</v>
      </c>
      <c r="R120" t="str">
        <f ca="1">IFERROR(__xludf.DUMMYFUNCTION("""COMPUTED_VALUE"""),"ЛУЦК")</f>
        <v>ЛУЦК</v>
      </c>
      <c r="S120" t="str">
        <f ca="1">IFERROR(__xludf.DUMMYFUNCTION("""COMPUTED_VALUE"""),"09.08.21 18-50")</f>
        <v>09.08.21 18-50</v>
      </c>
      <c r="T120">
        <f ca="1">IFERROR(__xludf.DUMMYFUNCTION("""COMPUTED_VALUE"""),8200)</f>
        <v>8200</v>
      </c>
      <c r="U120" t="str">
        <f ca="1">IFERROR(__xludf.DUMMYFUNCTION("""COMPUTED_VALUE"""),"07.06.2024 КР")</f>
        <v>07.06.2024 КР</v>
      </c>
      <c r="Z120" t="str">
        <f ca="1">IFERROR(__xludf.DUMMYFUNCTION("""COMPUTED_VALUE"""),"ООО «КЕРРИЛАЙН»")</f>
        <v>ООО «КЕРРИЛАЙН»</v>
      </c>
      <c r="AA120" t="str">
        <f ca="1">IFERROR(__xludf.DUMMYFUNCTION("""COMPUTED_VALUE"""),"11-270")</f>
        <v>11-270</v>
      </c>
      <c r="AB120" t="str">
        <f ca="1">IFERROR(__xludf.DUMMYFUNCTION("""COMPUTED_VALUE"""),"45 ПРИДН")</f>
        <v>45 ПРИДН</v>
      </c>
      <c r="AC120" t="str">
        <f ca="1">IFERROR(__xludf.DUMMYFUNCTION("""COMPUTED_VALUE"""),"47600 МЕЛИТОПОЛЬ")</f>
        <v>47600 МЕЛИТОПОЛЬ</v>
      </c>
      <c r="AD120" t="str">
        <f ca="1">IFERROR(__xludf.DUMMYFUNCTION("""COMPUTED_VALUE"""),"25.02.21 09-25")</f>
        <v>25.02.21 09-25</v>
      </c>
      <c r="AE120" t="str">
        <f ca="1">IFERROR(__xludf.DUMMYFUNCTION("""COMPUTED_VALUE"""),"570 ИCТEК КAЛЕНДАРНЫЙ CPOК ДEПOВCКОГО PEМOНТA")</f>
        <v>570 ИCТEК КAЛЕНДАРНЫЙ CPOК ДEПOВCКОГО PEМOНТA</v>
      </c>
      <c r="AF120" t="str">
        <f ca="1">IFERROR(__xludf.DUMMYFUNCTION("""COMPUTED_VALUE"""),"45 ПРИДН")</f>
        <v>45 ПРИДН</v>
      </c>
      <c r="AG120" t="str">
        <f ca="1">IFERROR(__xludf.DUMMYFUNCTION("""COMPUTED_VALUE"""),"47600 МЕЛИТОПОЛЬ")</f>
        <v>47600 МЕЛИТОПОЛЬ</v>
      </c>
      <c r="AH120" t="str">
        <f ca="1">IFERROR(__xludf.DUMMYFUNCTION("""COMPUTED_VALUE"""),"07.06.21 16-16")</f>
        <v>07.06.21 16-16</v>
      </c>
      <c r="AI120" s="21">
        <f ca="1">IFERROR(__xludf.DUMMYFUNCTION("""COMPUTED_VALUE"""),44420.357662037)</f>
        <v>44420.357662037</v>
      </c>
    </row>
    <row r="121" spans="1:35" ht="13" x14ac:dyDescent="0.15">
      <c r="A121">
        <f ca="1">IFERROR(__xludf.DUMMYFUNCTION("""COMPUTED_VALUE"""),317)</f>
        <v>317</v>
      </c>
      <c r="B121" t="str">
        <f ca="1">IFERROR(__xludf.DUMMYFUNCTION("""COMPUTED_VALUE"""),"Кнауф")</f>
        <v>Кнауф</v>
      </c>
      <c r="C121" t="str">
        <f ca="1">IFERROR(__xludf.DUMMYFUNCTION("""COMPUTED_VALUE"""),"Керрилайн")</f>
        <v>Керрилайн</v>
      </c>
      <c r="D121">
        <f ca="1">IFERROR(__xludf.DUMMYFUNCTION("""COMPUTED_VALUE"""),52414752)</f>
        <v>52414752</v>
      </c>
      <c r="E121" t="str">
        <f ca="1">IFERROR(__xludf.DUMMYFUNCTION("""COMPUTED_VALUE"""),"20 КРЫТЫЕ")</f>
        <v>20 КРЫТЫЕ</v>
      </c>
      <c r="F121">
        <f ca="1">IFERROR(__xludf.DUMMYFUNCTION("""COMPUTED_VALUE"""),42103)</f>
        <v>42103</v>
      </c>
      <c r="G121" t="str">
        <f ca="1">IFERROR(__xludf.DUMMYFUNCTION("""COMPUTED_VALUE"""),"ВАГОНЫ ЖД СВ")</f>
        <v>ВАГОНЫ ЖД СВ</v>
      </c>
      <c r="H121">
        <f ca="1">IFERROR(__xludf.DUMMYFUNCTION("""COMPUTED_VALUE"""),0)</f>
        <v>0</v>
      </c>
      <c r="I121">
        <f ca="1">IFERROR(__xludf.DUMMYFUNCTION("""COMPUTED_VALUE"""),4149)</f>
        <v>4149</v>
      </c>
      <c r="J121" t="str">
        <f ca="1">IFERROR(__xludf.DUMMYFUNCTION("""COMPUTED_VALUE"""),"3632 (32040-006-32000) ГРУШКИ - ДАРНИЦА")</f>
        <v>3632 (32040-006-32000) ГРУШКИ - ДАРНИЦА</v>
      </c>
      <c r="K121">
        <f ca="1">IFERROR(__xludf.DUMMYFUNCTION("""COMPUTED_VALUE"""),32000)</f>
        <v>32000</v>
      </c>
      <c r="L121" t="str">
        <f ca="1">IFERROR(__xludf.DUMMYFUNCTION("""COMPUTED_VALUE"""),"ДАРНИЦА")</f>
        <v>ДАРНИЦА</v>
      </c>
      <c r="M121" t="str">
        <f ca="1">IFERROR(__xludf.DUMMYFUNCTION("""COMPUTED_VALUE"""),"12.08.21 01-01")</f>
        <v>12.08.21 01-01</v>
      </c>
      <c r="N121" t="str">
        <f ca="1">IFERROR(__xludf.DUMMYFUNCTION("""COMPUTED_VALUE"""),"04 РАСФ")</f>
        <v>04 РАСФ</v>
      </c>
      <c r="O121">
        <f ca="1">IFERROR(__xludf.DUMMYFUNCTION("""COMPUTED_VALUE"""),49620)</f>
        <v>49620</v>
      </c>
      <c r="P121" t="str">
        <f ca="1">IFERROR(__xludf.DUMMYFUNCTION("""COMPUTED_VALUE"""),"ДЕКОНСКАЯ")</f>
        <v>ДЕКОНСКАЯ</v>
      </c>
      <c r="Q121">
        <f ca="1">IFERROR(__xludf.DUMMYFUNCTION("""COMPUTED_VALUE"""),32040)</f>
        <v>32040</v>
      </c>
      <c r="R121" t="str">
        <f ca="1">IFERROR(__xludf.DUMMYFUNCTION("""COMPUTED_VALUE"""),"ГРУШКИ")</f>
        <v>ГРУШКИ</v>
      </c>
      <c r="S121" t="str">
        <f ca="1">IFERROR(__xludf.DUMMYFUNCTION("""COMPUTED_VALUE"""),"08.08.21 08-00")</f>
        <v>08.08.21 08-00</v>
      </c>
      <c r="T121">
        <f ca="1">IFERROR(__xludf.DUMMYFUNCTION("""COMPUTED_VALUE"""),3314)</f>
        <v>3314</v>
      </c>
      <c r="U121" t="str">
        <f ca="1">IFERROR(__xludf.DUMMYFUNCTION("""COMPUTED_VALUE"""),"01.05.2023 КР")</f>
        <v>01.05.2023 КР</v>
      </c>
      <c r="Z121" t="str">
        <f ca="1">IFERROR(__xludf.DUMMYFUNCTION("""COMPUTED_VALUE"""),"ООО «КЕРРИЛАЙН»")</f>
        <v>ООО «КЕРРИЛАЙН»</v>
      </c>
      <c r="AA121" t="str">
        <f ca="1">IFERROR(__xludf.DUMMYFUNCTION("""COMPUTED_VALUE"""),"11-270")</f>
        <v>11-270</v>
      </c>
      <c r="AB121" t="str">
        <f ca="1">IFERROR(__xludf.DUMMYFUNCTION("""COMPUTED_VALUE"""),"45 ПРИДН")</f>
        <v>45 ПРИДН</v>
      </c>
      <c r="AC121" t="str">
        <f ca="1">IFERROR(__xludf.DUMMYFUNCTION("""COMPUTED_VALUE"""),"47600 МЕЛИТОПОЛЬ")</f>
        <v>47600 МЕЛИТОПОЛЬ</v>
      </c>
      <c r="AD121" t="str">
        <f ca="1">IFERROR(__xludf.DUMMYFUNCTION("""COMPUTED_VALUE"""),"20.04.20 03-47")</f>
        <v>20.04.20 03-47</v>
      </c>
      <c r="AE121" t="str">
        <f ca="1">IFERROR(__xludf.DUMMYFUNCTION("""COMPUTED_VALUE"""),"570 ИCТEК КAЛЕНДАРНЫЙ CPOК ДEПOВCКОГО PEМOНТA")</f>
        <v>570 ИCТEК КAЛЕНДАРНЫЙ CPOК ДEПOВCКОГО PEМOНТA</v>
      </c>
      <c r="AF121" t="str">
        <f ca="1">IFERROR(__xludf.DUMMYFUNCTION("""COMPUTED_VALUE"""),"45 ПРИДН")</f>
        <v>45 ПРИДН</v>
      </c>
      <c r="AG121" t="str">
        <f ca="1">IFERROR(__xludf.DUMMYFUNCTION("""COMPUTED_VALUE"""),"47600 МЕЛИТОПОЛЬ")</f>
        <v>47600 МЕЛИТОПОЛЬ</v>
      </c>
      <c r="AH121" t="str">
        <f ca="1">IFERROR(__xludf.DUMMYFUNCTION("""COMPUTED_VALUE"""),"01.05.20 14-10")</f>
        <v>01.05.20 14-10</v>
      </c>
      <c r="AI121" s="21">
        <f ca="1">IFERROR(__xludf.DUMMYFUNCTION("""COMPUTED_VALUE"""),44420.357662037)</f>
        <v>44420.357662037</v>
      </c>
    </row>
    <row r="122" spans="1:35" ht="13" x14ac:dyDescent="0.15">
      <c r="A122">
        <f ca="1">IFERROR(__xludf.DUMMYFUNCTION("""COMPUTED_VALUE"""),318)</f>
        <v>318</v>
      </c>
      <c r="B122" t="str">
        <f ca="1">IFERROR(__xludf.DUMMYFUNCTION("""COMPUTED_VALUE"""),"Кнауф")</f>
        <v>Кнауф</v>
      </c>
      <c r="C122" t="str">
        <f ca="1">IFERROR(__xludf.DUMMYFUNCTION("""COMPUTED_VALUE"""),"Керрилайн РФ")</f>
        <v>Керрилайн РФ</v>
      </c>
      <c r="D122">
        <f ca="1">IFERROR(__xludf.DUMMYFUNCTION("""COMPUTED_VALUE"""),52530995)</f>
        <v>52530995</v>
      </c>
      <c r="E122" t="str">
        <f ca="1">IFERROR(__xludf.DUMMYFUNCTION("""COMPUTED_VALUE"""),"20 КРЫТЫЕ")</f>
        <v>20 КРЫТЫЕ</v>
      </c>
      <c r="F122">
        <f ca="1">IFERROR(__xludf.DUMMYFUNCTION("""COMPUTED_VALUE"""),23304)</f>
        <v>23304</v>
      </c>
      <c r="G122" t="str">
        <f ca="1">IFERROR(__xludf.DUMMYFUNCTION("""COMPUTED_VALUE"""),"ГИПС ПР")</f>
        <v>ГИПС ПР</v>
      </c>
      <c r="H122">
        <f ca="1">IFERROR(__xludf.DUMMYFUNCTION("""COMPUTED_VALUE"""),65)</f>
        <v>65</v>
      </c>
      <c r="I122">
        <f ca="1">IFERROR(__xludf.DUMMYFUNCTION("""COMPUTED_VALUE"""),4779)</f>
        <v>4779</v>
      </c>
      <c r="J122" t="str">
        <f ca="1">IFERROR(__xludf.DUMMYFUNCTION("""COMPUTED_VALUE"""),"2223 (44020-103-37040) ОСНОВА - КЛЕПАРОВ")</f>
        <v>2223 (44020-103-37040) ОСНОВА - КЛЕПАРОВ</v>
      </c>
      <c r="K122">
        <f ca="1">IFERROR(__xludf.DUMMYFUNCTION("""COMPUTED_VALUE"""),37040)</f>
        <v>37040</v>
      </c>
      <c r="L122" t="str">
        <f ca="1">IFERROR(__xludf.DUMMYFUNCTION("""COMPUTED_VALUE"""),"КЛЕПАРОВ")</f>
        <v>КЛЕПАРОВ</v>
      </c>
      <c r="M122" t="str">
        <f ca="1">IFERROR(__xludf.DUMMYFUNCTION("""COMPUTED_VALUE"""),"12.08.21 06-19")</f>
        <v>12.08.21 06-19</v>
      </c>
      <c r="N122" t="str">
        <f ca="1">IFERROR(__xludf.DUMMYFUNCTION("""COMPUTED_VALUE"""),"04 РАСФ")</f>
        <v>04 РАСФ</v>
      </c>
      <c r="O122">
        <f ca="1">IFERROR(__xludf.DUMMYFUNCTION("""COMPUTED_VALUE"""),36820)</f>
        <v>36820</v>
      </c>
      <c r="P122" t="str">
        <f ca="1">IFERROR(__xludf.DUMMYFUNCTION("""COMPUTED_VALUE"""),"ЧЕРНОВЦЫ-ЮЖН")</f>
        <v>ЧЕРНОВЦЫ-ЮЖН</v>
      </c>
      <c r="Q122">
        <f ca="1">IFERROR(__xludf.DUMMYFUNCTION("""COMPUTED_VALUE"""),49620)</f>
        <v>49620</v>
      </c>
      <c r="R122" t="str">
        <f ca="1">IFERROR(__xludf.DUMMYFUNCTION("""COMPUTED_VALUE"""),"ДЕКОНСКАЯ")</f>
        <v>ДЕКОНСКАЯ</v>
      </c>
      <c r="S122" t="str">
        <f ca="1">IFERROR(__xludf.DUMMYFUNCTION("""COMPUTED_VALUE"""),"06.08.21 09-00")</f>
        <v>06.08.21 09-00</v>
      </c>
      <c r="T122">
        <f ca="1">IFERROR(__xludf.DUMMYFUNCTION("""COMPUTED_VALUE"""),4149)</f>
        <v>4149</v>
      </c>
      <c r="U122" t="str">
        <f ca="1">IFERROR(__xludf.DUMMYFUNCTION("""COMPUTED_VALUE"""),"26.06.2024 КР")</f>
        <v>26.06.2024 КР</v>
      </c>
      <c r="Z122" t="str">
        <f ca="1">IFERROR(__xludf.DUMMYFUNCTION("""COMPUTED_VALUE"""),"ООО «КЕРРИЛАЙН»")</f>
        <v>ООО «КЕРРИЛАЙН»</v>
      </c>
      <c r="AA122" t="str">
        <f ca="1">IFERROR(__xludf.DUMMYFUNCTION("""COMPUTED_VALUE"""),"11-276")</f>
        <v>11-276</v>
      </c>
      <c r="AB122" t="str">
        <f ca="1">IFERROR(__xludf.DUMMYFUNCTION("""COMPUTED_VALUE"""),"45 ПРИДН")</f>
        <v>45 ПРИДН</v>
      </c>
      <c r="AC122" t="str">
        <f ca="1">IFERROR(__xludf.DUMMYFUNCTION("""COMPUTED_VALUE"""),"47600 МЕЛИТОПОЛЬ")</f>
        <v>47600 МЕЛИТОПОЛЬ</v>
      </c>
      <c r="AD122" t="str">
        <f ca="1">IFERROR(__xludf.DUMMYFUNCTION("""COMPUTED_VALUE"""),"21.05.21 11-25")</f>
        <v>21.05.21 11-25</v>
      </c>
      <c r="AE122" t="str">
        <f ca="1">IFERROR(__xludf.DUMMYFUNCTION("""COMPUTED_VALUE"""),"570 ИCТEК КAЛЕНДАРНЫЙ CPOК ДEПOВCКОГО PEМOНТA")</f>
        <v>570 ИCТEК КAЛЕНДАРНЫЙ CPOК ДEПOВCКОГО PEМOНТA</v>
      </c>
      <c r="AF122" t="str">
        <f ca="1">IFERROR(__xludf.DUMMYFUNCTION("""COMPUTED_VALUE"""),"45 ПРИДН")</f>
        <v>45 ПРИДН</v>
      </c>
      <c r="AG122" t="str">
        <f ca="1">IFERROR(__xludf.DUMMYFUNCTION("""COMPUTED_VALUE"""),"47600 МЕЛИТОПОЛЬ")</f>
        <v>47600 МЕЛИТОПОЛЬ</v>
      </c>
      <c r="AH122" t="str">
        <f ca="1">IFERROR(__xludf.DUMMYFUNCTION("""COMPUTED_VALUE"""),"26.06.21 11-10")</f>
        <v>26.06.21 11-10</v>
      </c>
      <c r="AI122" s="21">
        <f ca="1">IFERROR(__xludf.DUMMYFUNCTION("""COMPUTED_VALUE"""),44420.357662037)</f>
        <v>44420.357662037</v>
      </c>
    </row>
    <row r="123" spans="1:35" ht="13" x14ac:dyDescent="0.15">
      <c r="A123">
        <f ca="1">IFERROR(__xludf.DUMMYFUNCTION("""COMPUTED_VALUE"""),319)</f>
        <v>319</v>
      </c>
      <c r="B123" t="str">
        <f ca="1">IFERROR(__xludf.DUMMYFUNCTION("""COMPUTED_VALUE"""),"Кнауф")</f>
        <v>Кнауф</v>
      </c>
      <c r="C123" t="str">
        <f ca="1">IFERROR(__xludf.DUMMYFUNCTION("""COMPUTED_VALUE"""),"Керрилайн РФ")</f>
        <v>Керрилайн РФ</v>
      </c>
      <c r="D123">
        <f ca="1">IFERROR(__xludf.DUMMYFUNCTION("""COMPUTED_VALUE"""),52111903)</f>
        <v>52111903</v>
      </c>
      <c r="E123" t="str">
        <f ca="1">IFERROR(__xludf.DUMMYFUNCTION("""COMPUTED_VALUE"""),"28 КРЫТЫЕ_138")</f>
        <v>28 КРЫТЫЕ_138</v>
      </c>
      <c r="F123">
        <f ca="1">IFERROR(__xludf.DUMMYFUNCTION("""COMPUTED_VALUE"""),25123)</f>
        <v>25123</v>
      </c>
      <c r="G123" t="str">
        <f ca="1">IFERROR(__xludf.DUMMYFUNCTION("""COMPUTED_VALUE"""),"ПЛИТЫ ГИПСОВ")</f>
        <v>ПЛИТЫ ГИПСОВ</v>
      </c>
      <c r="H123">
        <f ca="1">IFERROR(__xludf.DUMMYFUNCTION("""COMPUTED_VALUE"""),65)</f>
        <v>65</v>
      </c>
      <c r="I123">
        <f ca="1">IFERROR(__xludf.DUMMYFUNCTION("""COMPUTED_VALUE"""),3314)</f>
        <v>3314</v>
      </c>
      <c r="J123" t="str">
        <f ca="1">IFERROR(__xludf.DUMMYFUNCTION("""COMPUTED_VALUE"""),"3853 (32000-476-32050) ДАРНИЦА - КИЕВ-ВОЛЫНСК")</f>
        <v>3853 (32000-476-32050) ДАРНИЦА - КИЕВ-ВОЛЫНСК</v>
      </c>
      <c r="K123">
        <f ca="1">IFERROR(__xludf.DUMMYFUNCTION("""COMPUTED_VALUE"""),32050)</f>
        <v>32050</v>
      </c>
      <c r="L123" t="str">
        <f ca="1">IFERROR(__xludf.DUMMYFUNCTION("""COMPUTED_VALUE"""),"КИЕВ-ВОЛЫНСК")</f>
        <v>КИЕВ-ВОЛЫНСК</v>
      </c>
      <c r="M123" t="str">
        <f ca="1">IFERROR(__xludf.DUMMYFUNCTION("""COMPUTED_VALUE"""),"10.08.21 15-55")</f>
        <v>10.08.21 15-55</v>
      </c>
      <c r="N123" t="str">
        <f ca="1">IFERROR(__xludf.DUMMYFUNCTION("""COMPUTED_VALUE"""),"04 РАСФ")</f>
        <v>04 РАСФ</v>
      </c>
      <c r="O123">
        <f ca="1">IFERROR(__xludf.DUMMYFUNCTION("""COMPUTED_VALUE"""),32040)</f>
        <v>32040</v>
      </c>
      <c r="P123" t="str">
        <f ca="1">IFERROR(__xludf.DUMMYFUNCTION("""COMPUTED_VALUE"""),"ГРУШКИ")</f>
        <v>ГРУШКИ</v>
      </c>
      <c r="Q123">
        <f ca="1">IFERROR(__xludf.DUMMYFUNCTION("""COMPUTED_VALUE"""),49620)</f>
        <v>49620</v>
      </c>
      <c r="R123" t="str">
        <f ca="1">IFERROR(__xludf.DUMMYFUNCTION("""COMPUTED_VALUE"""),"ДЕКОНСКАЯ")</f>
        <v>ДЕКОНСКАЯ</v>
      </c>
      <c r="S123" t="str">
        <f ca="1">IFERROR(__xludf.DUMMYFUNCTION("""COMPUTED_VALUE"""),"05.08.21 09-00")</f>
        <v>05.08.21 09-00</v>
      </c>
      <c r="T123">
        <f ca="1">IFERROR(__xludf.DUMMYFUNCTION("""COMPUTED_VALUE"""),4149)</f>
        <v>4149</v>
      </c>
      <c r="U123" t="str">
        <f ca="1">IFERROR(__xludf.DUMMYFUNCTION("""COMPUTED_VALUE"""),"15.02.2024 КР")</f>
        <v>15.02.2024 КР</v>
      </c>
      <c r="Z123" t="str">
        <f ca="1">IFERROR(__xludf.DUMMYFUNCTION("""COMPUTED_VALUE"""),"ООО «КЕРРИЛАЙН»")</f>
        <v>ООО «КЕРРИЛАЙН»</v>
      </c>
      <c r="AA123" t="str">
        <f ca="1">IFERROR(__xludf.DUMMYFUNCTION("""COMPUTED_VALUE"""),"11-280")</f>
        <v>11-280</v>
      </c>
      <c r="AB123" t="str">
        <f ca="1">IFERROR(__xludf.DUMMYFUNCTION("""COMPUTED_VALUE"""),"45 ПРИДН")</f>
        <v>45 ПРИДН</v>
      </c>
      <c r="AC123" t="str">
        <f ca="1">IFERROR(__xludf.DUMMYFUNCTION("""COMPUTED_VALUE"""),"47600 МЕЛИТОПОЛЬ")</f>
        <v>47600 МЕЛИТОПОЛЬ</v>
      </c>
      <c r="AD123" t="str">
        <f ca="1">IFERROR(__xludf.DUMMYFUNCTION("""COMPUTED_VALUE"""),"28.01.21 03-10")</f>
        <v>28.01.21 03-10</v>
      </c>
      <c r="AE123" t="str">
        <f ca="1">IFERROR(__xludf.DUMMYFUNCTION("""COMPUTED_VALUE"""),"570 ИCТEК КAЛЕНДАРНЫЙ CPOК ДEПOВCКОГО PEМOНТA")</f>
        <v>570 ИCТEК КAЛЕНДАРНЫЙ CPOК ДEПOВCКОГО PEМOНТA</v>
      </c>
      <c r="AF123" t="str">
        <f ca="1">IFERROR(__xludf.DUMMYFUNCTION("""COMPUTED_VALUE"""),"45 ПРИДН")</f>
        <v>45 ПРИДН</v>
      </c>
      <c r="AG123" t="str">
        <f ca="1">IFERROR(__xludf.DUMMYFUNCTION("""COMPUTED_VALUE"""),"47600 МЕЛИТОПОЛЬ")</f>
        <v>47600 МЕЛИТОПОЛЬ</v>
      </c>
      <c r="AH123" t="str">
        <f ca="1">IFERROR(__xludf.DUMMYFUNCTION("""COMPUTED_VALUE"""),"15.02.21 10-00")</f>
        <v>15.02.21 10-00</v>
      </c>
      <c r="AI123" s="21">
        <f ca="1">IFERROR(__xludf.DUMMYFUNCTION("""COMPUTED_VALUE"""),44420.357662037)</f>
        <v>44420.357662037</v>
      </c>
    </row>
    <row r="124" spans="1:35" ht="13" x14ac:dyDescent="0.15">
      <c r="A124">
        <f ca="1">IFERROR(__xludf.DUMMYFUNCTION("""COMPUTED_VALUE"""),320)</f>
        <v>320</v>
      </c>
      <c r="B124" t="str">
        <f ca="1">IFERROR(__xludf.DUMMYFUNCTION("""COMPUTED_VALUE"""),"Кнауф")</f>
        <v>Кнауф</v>
      </c>
      <c r="C124" t="str">
        <f ca="1">IFERROR(__xludf.DUMMYFUNCTION("""COMPUTED_VALUE"""),"Керрилайн РФ")</f>
        <v>Керрилайн РФ</v>
      </c>
      <c r="D124">
        <f ca="1">IFERROR(__xludf.DUMMYFUNCTION("""COMPUTED_VALUE"""),52577376)</f>
        <v>52577376</v>
      </c>
      <c r="E124" t="str">
        <f ca="1">IFERROR(__xludf.DUMMYFUNCTION("""COMPUTED_VALUE"""),"20 КРЫТЫЕ")</f>
        <v>20 КРЫТЫЕ</v>
      </c>
      <c r="F124">
        <f ca="1">IFERROR(__xludf.DUMMYFUNCTION("""COMPUTED_VALUE"""),42119)</f>
        <v>42119</v>
      </c>
      <c r="G124" t="str">
        <f ca="1">IFERROR(__xludf.DUMMYFUNCTION("""COMPUTED_VALUE"""),"ВАГОНЫ ЖД РЕМОН")</f>
        <v>ВАГОНЫ ЖД РЕМОН</v>
      </c>
      <c r="H124">
        <f ca="1">IFERROR(__xludf.DUMMYFUNCTION("""COMPUTED_VALUE"""),0)</f>
        <v>0</v>
      </c>
      <c r="I124">
        <f ca="1">IFERROR(__xludf.DUMMYFUNCTION("""COMPUTED_VALUE"""),9120)</f>
        <v>9120</v>
      </c>
      <c r="J124" t="str">
        <f ca="1">IFERROR(__xludf.DUMMYFUNCTION("""COMPUTED_VALUE"""),"3108 (41510-045-41780) НИКОЛАЕВ - ХЕРСОН")</f>
        <v>3108 (41510-045-41780) НИКОЛАЕВ - ХЕРСОН</v>
      </c>
      <c r="K124">
        <f ca="1">IFERROR(__xludf.DUMMYFUNCTION("""COMPUTED_VALUE"""),41780)</f>
        <v>41780</v>
      </c>
      <c r="L124" t="str">
        <f ca="1">IFERROR(__xludf.DUMMYFUNCTION("""COMPUTED_VALUE"""),"ХЕРСОН")</f>
        <v>ХЕРСОН</v>
      </c>
      <c r="M124" t="str">
        <f ca="1">IFERROR(__xludf.DUMMYFUNCTION("""COMPUTED_VALUE"""),"12.08.21 07-05")</f>
        <v>12.08.21 07-05</v>
      </c>
      <c r="N124" t="str">
        <f ca="1">IFERROR(__xludf.DUMMYFUNCTION("""COMPUTED_VALUE"""),"31 ПРИБ")</f>
        <v>31 ПРИБ</v>
      </c>
      <c r="O124">
        <f ca="1">IFERROR(__xludf.DUMMYFUNCTION("""COMPUTED_VALUE"""),41790)</f>
        <v>41790</v>
      </c>
      <c r="P124" t="str">
        <f ca="1">IFERROR(__xludf.DUMMYFUNCTION("""COMPUTED_VALUE"""),"ХЕРСОН-ПОРТ")</f>
        <v>ХЕРСОН-ПОРТ</v>
      </c>
      <c r="Q124">
        <f ca="1">IFERROR(__xludf.DUMMYFUNCTION("""COMPUTED_VALUE"""),47600)</f>
        <v>47600</v>
      </c>
      <c r="R124" t="str">
        <f ca="1">IFERROR(__xludf.DUMMYFUNCTION("""COMPUTED_VALUE"""),"МЕЛИТОПОЛЬ")</f>
        <v>МЕЛИТОПОЛЬ</v>
      </c>
      <c r="S124" t="str">
        <f ca="1">IFERROR(__xludf.DUMMYFUNCTION("""COMPUTED_VALUE"""),"05.08.21 15-30")</f>
        <v>05.08.21 15-30</v>
      </c>
      <c r="T124">
        <f ca="1">IFERROR(__xludf.DUMMYFUNCTION("""COMPUTED_VALUE"""),9775)</f>
        <v>9775</v>
      </c>
      <c r="U124" t="str">
        <f ca="1">IFERROR(__xludf.DUMMYFUNCTION("""COMPUTED_VALUE"""),"05.08.2024 ДР")</f>
        <v>05.08.2024 ДР</v>
      </c>
      <c r="Z124" t="str">
        <f ca="1">IFERROR(__xludf.DUMMYFUNCTION("""COMPUTED_VALUE"""),"ООО «КЕРРИЛАЙН»")</f>
        <v>ООО «КЕРРИЛАЙН»</v>
      </c>
      <c r="AA124" t="str">
        <f ca="1">IFERROR(__xludf.DUMMYFUNCTION("""COMPUTED_VALUE"""),"11-270")</f>
        <v>11-270</v>
      </c>
      <c r="AB124" t="str">
        <f ca="1">IFERROR(__xludf.DUMMYFUNCTION("""COMPUTED_VALUE"""),"45 ПРИДН")</f>
        <v>45 ПРИДН</v>
      </c>
      <c r="AC124" t="str">
        <f ca="1">IFERROR(__xludf.DUMMYFUNCTION("""COMPUTED_VALUE"""),"47600 МЕЛИТОПОЛЬ")</f>
        <v>47600 МЕЛИТОПОЛЬ</v>
      </c>
      <c r="AD124" t="str">
        <f ca="1">IFERROR(__xludf.DUMMYFUNCTION("""COMPUTED_VALUE"""),"03.06.21 10-00")</f>
        <v>03.06.21 10-00</v>
      </c>
      <c r="AE124" t="str">
        <f ca="1">IFERROR(__xludf.DUMMYFUNCTION("""COMPUTED_VALUE"""),"571 ИCТEК КAЛЕНДАРНЫЙ CPOК КAПИТAЛЬНОГО PEМOНТA")</f>
        <v>571 ИCТEК КAЛЕНДАРНЫЙ CPOК КAПИТAЛЬНОГО PEМOНТA</v>
      </c>
      <c r="AF124" t="str">
        <f ca="1">IFERROR(__xludf.DUMMYFUNCTION("""COMPUTED_VALUE"""),"45 ПРИДН")</f>
        <v>45 ПРИДН</v>
      </c>
      <c r="AG124" t="str">
        <f ca="1">IFERROR(__xludf.DUMMYFUNCTION("""COMPUTED_VALUE"""),"47600 МЕЛИТОПОЛЬ")</f>
        <v>47600 МЕЛИТОПОЛЬ</v>
      </c>
      <c r="AH124" t="str">
        <f ca="1">IFERROR(__xludf.DUMMYFUNCTION("""COMPUTED_VALUE"""),"05.08.21 15-10")</f>
        <v>05.08.21 15-10</v>
      </c>
      <c r="AI124" s="21">
        <f ca="1">IFERROR(__xludf.DUMMYFUNCTION("""COMPUTED_VALUE"""),44420.357662037)</f>
        <v>44420.357662037</v>
      </c>
    </row>
    <row r="125" spans="1:35" ht="13" x14ac:dyDescent="0.15">
      <c r="A125">
        <f ca="1">IFERROR(__xludf.DUMMYFUNCTION("""COMPUTED_VALUE"""),321)</f>
        <v>321</v>
      </c>
      <c r="B125" t="str">
        <f ca="1">IFERROR(__xludf.DUMMYFUNCTION("""COMPUTED_VALUE"""),"Промдримлайт")</f>
        <v>Промдримлайт</v>
      </c>
      <c r="C125" t="str">
        <f ca="1">IFERROR(__xludf.DUMMYFUNCTION("""COMPUTED_VALUE"""),"Керрилайн 64 РФ")</f>
        <v>Керрилайн 64 РФ</v>
      </c>
      <c r="D125">
        <f ca="1">IFERROR(__xludf.DUMMYFUNCTION("""COMPUTED_VALUE"""),52708203)</f>
        <v>52708203</v>
      </c>
      <c r="E125" t="str">
        <f ca="1">IFERROR(__xludf.DUMMYFUNCTION("""COMPUTED_VALUE"""),"20 КРЫТЫЕ")</f>
        <v>20 КРЫТЫЕ</v>
      </c>
      <c r="F125">
        <f ca="1">IFERROR(__xludf.DUMMYFUNCTION("""COMPUTED_VALUE"""),42119)</f>
        <v>42119</v>
      </c>
      <c r="G125" t="str">
        <f ca="1">IFERROR(__xludf.DUMMYFUNCTION("""COMPUTED_VALUE"""),"ВАГОНЫ ЖД РЕМОН")</f>
        <v>ВАГОНЫ ЖД РЕМОН</v>
      </c>
      <c r="H125">
        <f ca="1">IFERROR(__xludf.DUMMYFUNCTION("""COMPUTED_VALUE"""),0)</f>
        <v>0</v>
      </c>
      <c r="I125">
        <f ca="1">IFERROR(__xludf.DUMMYFUNCTION("""COMPUTED_VALUE"""),6599)</f>
        <v>6599</v>
      </c>
      <c r="J125" t="str">
        <f ca="1">IFERROR(__xludf.DUMMYFUNCTION("""COMPUTED_VALUE"""),"3503 (45000-428-45070) НИЖНЕДН-УЗЕЛ - НИЖНЕДН-ПРИС")</f>
        <v>3503 (45000-428-45070) НИЖНЕДН-УЗЕЛ - НИЖНЕДН-ПРИС</v>
      </c>
      <c r="K125">
        <f ca="1">IFERROR(__xludf.DUMMYFUNCTION("""COMPUTED_VALUE"""),45060)</f>
        <v>45060</v>
      </c>
      <c r="L125" t="str">
        <f ca="1">IFERROR(__xludf.DUMMYFUNCTION("""COMPUTED_VALUE"""),"НИЖНЕДНЕПРОВ")</f>
        <v>НИЖНЕДНЕПРОВ</v>
      </c>
      <c r="M125" t="str">
        <f ca="1">IFERROR(__xludf.DUMMYFUNCTION("""COMPUTED_VALUE"""),"23.07.21 09-37")</f>
        <v>23.07.21 09-37</v>
      </c>
      <c r="N125" t="str">
        <f ca="1">IFERROR(__xludf.DUMMYFUNCTION("""COMPUTED_VALUE"""),"53 ВУ23")</f>
        <v>53 ВУ23</v>
      </c>
      <c r="O125">
        <f ca="1">IFERROR(__xludf.DUMMYFUNCTION("""COMPUTED_VALUE"""),45060)</f>
        <v>45060</v>
      </c>
      <c r="P125" t="str">
        <f ca="1">IFERROR(__xludf.DUMMYFUNCTION("""COMPUTED_VALUE"""),"НИЖНЕДНЕПРОВ")</f>
        <v>НИЖНЕДНЕПРОВ</v>
      </c>
      <c r="Q125">
        <f ca="1">IFERROR(__xludf.DUMMYFUNCTION("""COMPUTED_VALUE"""),49480)</f>
        <v>49480</v>
      </c>
      <c r="R125" t="str">
        <f ca="1">IFERROR(__xludf.DUMMYFUNCTION("""COMPUTED_VALUE"""),"СОЛЬ")</f>
        <v>СОЛЬ</v>
      </c>
      <c r="S125" t="str">
        <f ca="1">IFERROR(__xludf.DUMMYFUNCTION("""COMPUTED_VALUE"""),"16.07.21 16-15")</f>
        <v>16.07.21 16-15</v>
      </c>
      <c r="T125">
        <f ca="1">IFERROR(__xludf.DUMMYFUNCTION("""COMPUTED_VALUE"""),4714)</f>
        <v>4714</v>
      </c>
      <c r="U125" t="str">
        <f ca="1">IFERROR(__xludf.DUMMYFUNCTION("""COMPUTED_VALUE"""),"20.12.2020 КР")</f>
        <v>20.12.2020 КР</v>
      </c>
      <c r="Z125" t="str">
        <f ca="1">IFERROR(__xludf.DUMMYFUNCTION("""COMPUTED_VALUE"""),"ООО «КЕРРИЛАЙН»")</f>
        <v>ООО «КЕРРИЛАЙН»</v>
      </c>
      <c r="AA125" t="str">
        <f ca="1">IFERROR(__xludf.DUMMYFUNCTION("""COMPUTED_VALUE"""),"11-274-01")</f>
        <v>11-274-01</v>
      </c>
      <c r="AB125" t="str">
        <f ca="1">IFERROR(__xludf.DUMMYFUNCTION("""COMPUTED_VALUE"""),"45 ПРИДН")</f>
        <v>45 ПРИДН</v>
      </c>
      <c r="AC125" t="str">
        <f ca="1">IFERROR(__xludf.DUMMYFUNCTION("""COMPUTED_VALUE"""),"45060 НИЖНЕДНЕПРОВ")</f>
        <v>45060 НИЖНЕДНЕПРОВ</v>
      </c>
      <c r="AD125" t="str">
        <f ca="1">IFERROR(__xludf.DUMMYFUNCTION("""COMPUTED_VALUE"""),"23.07.21 09-37")</f>
        <v>23.07.21 09-37</v>
      </c>
      <c r="AE125" t="str">
        <f ca="1">IFERROR(__xludf.DUMMYFUNCTION("""COMPUTED_VALUE"""),"579 ИCТEК CPOК CЛУЖБЫ")</f>
        <v>579 ИCТEК CPOК CЛУЖБЫ</v>
      </c>
      <c r="AF125" t="str">
        <f ca="1">IFERROR(__xludf.DUMMYFUNCTION("""COMPUTED_VALUE"""),"40 ОД")</f>
        <v>40 ОД</v>
      </c>
      <c r="AG125" t="str">
        <f ca="1">IFERROR(__xludf.DUMMYFUNCTION("""COMPUTED_VALUE"""),"40510 ОДЕССА-ЗАС I")</f>
        <v>40510 ОДЕССА-ЗАС I</v>
      </c>
      <c r="AH125" t="str">
        <f ca="1">IFERROR(__xludf.DUMMYFUNCTION("""COMPUTED_VALUE"""),"27.10.20 16-25")</f>
        <v>27.10.20 16-25</v>
      </c>
      <c r="AI125" s="21">
        <f ca="1">IFERROR(__xludf.DUMMYFUNCTION("""COMPUTED_VALUE"""),44420.357662037)</f>
        <v>44420.357662037</v>
      </c>
    </row>
    <row r="126" spans="1:35" ht="13" x14ac:dyDescent="0.15">
      <c r="A126">
        <f ca="1">IFERROR(__xludf.DUMMYFUNCTION("""COMPUTED_VALUE"""),322)</f>
        <v>322</v>
      </c>
      <c r="B126" t="str">
        <f ca="1">IFERROR(__xludf.DUMMYFUNCTION("""COMPUTED_VALUE"""),"Промдримлайт")</f>
        <v>Промдримлайт</v>
      </c>
      <c r="C126" t="str">
        <f ca="1">IFERROR(__xludf.DUMMYFUNCTION("""COMPUTED_VALUE"""),"Керрилайн 64 РФ")</f>
        <v>Керрилайн 64 РФ</v>
      </c>
      <c r="D126">
        <f ca="1">IFERROR(__xludf.DUMMYFUNCTION("""COMPUTED_VALUE"""),52708344)</f>
        <v>52708344</v>
      </c>
      <c r="E126" t="str">
        <f ca="1">IFERROR(__xludf.DUMMYFUNCTION("""COMPUTED_VALUE"""),"20 КРЫТЫЕ")</f>
        <v>20 КРЫТЫЕ</v>
      </c>
      <c r="F126">
        <f ca="1">IFERROR(__xludf.DUMMYFUNCTION("""COMPUTED_VALUE"""),42119)</f>
        <v>42119</v>
      </c>
      <c r="G126" t="str">
        <f ca="1">IFERROR(__xludf.DUMMYFUNCTION("""COMPUTED_VALUE"""),"ВАГОНЫ ЖД РЕМОН")</f>
        <v>ВАГОНЫ ЖД РЕМОН</v>
      </c>
      <c r="H126">
        <f ca="1">IFERROR(__xludf.DUMMYFUNCTION("""COMPUTED_VALUE"""),0)</f>
        <v>0</v>
      </c>
      <c r="I126">
        <f ca="1">IFERROR(__xludf.DUMMYFUNCTION("""COMPUTED_VALUE"""),9785)</f>
        <v>9785</v>
      </c>
      <c r="J126" t="str">
        <f ca="1">IFERROR(__xludf.DUMMYFUNCTION("""COMPUTED_VALUE"""),"5555 (49000-295-00080) ЛИМАН -")</f>
        <v>5555 (49000-295-00080) ЛИМАН -</v>
      </c>
      <c r="K126">
        <f ca="1">IFERROR(__xludf.DUMMYFUNCTION("""COMPUTED_VALUE"""),49200)</f>
        <v>49200</v>
      </c>
      <c r="L126" t="str">
        <f ca="1">IFERROR(__xludf.DUMMYFUNCTION("""COMPUTED_VALUE"""),"СЛАВЯНСК")</f>
        <v>СЛАВЯНСК</v>
      </c>
      <c r="M126" t="str">
        <f ca="1">IFERROR(__xludf.DUMMYFUNCTION("""COMPUTED_VALUE"""),"30.07.21 13-00")</f>
        <v>30.07.21 13-00</v>
      </c>
      <c r="N126" t="str">
        <f ca="1">IFERROR(__xludf.DUMMYFUNCTION("""COMPUTED_VALUE"""),"63 ВУ36")</f>
        <v>63 ВУ36</v>
      </c>
      <c r="O126">
        <f ca="1">IFERROR(__xludf.DUMMYFUNCTION("""COMPUTED_VALUE"""),49200)</f>
        <v>49200</v>
      </c>
      <c r="P126" t="str">
        <f ca="1">IFERROR(__xludf.DUMMYFUNCTION("""COMPUTED_VALUE"""),"СЛАВЯНСК")</f>
        <v>СЛАВЯНСК</v>
      </c>
      <c r="Q126">
        <f ca="1">IFERROR(__xludf.DUMMYFUNCTION("""COMPUTED_VALUE"""),49480)</f>
        <v>49480</v>
      </c>
      <c r="R126" t="str">
        <f ca="1">IFERROR(__xludf.DUMMYFUNCTION("""COMPUTED_VALUE"""),"СОЛЬ")</f>
        <v>СОЛЬ</v>
      </c>
      <c r="S126" t="str">
        <f ca="1">IFERROR(__xludf.DUMMYFUNCTION("""COMPUTED_VALUE"""),"14.07.21 19-20")</f>
        <v>14.07.21 19-20</v>
      </c>
      <c r="T126">
        <f ca="1">IFERROR(__xludf.DUMMYFUNCTION("""COMPUTED_VALUE"""),4714)</f>
        <v>4714</v>
      </c>
      <c r="U126" t="str">
        <f ca="1">IFERROR(__xludf.DUMMYFUNCTION("""COMPUTED_VALUE"""),"12.09.2023 ТР-1")</f>
        <v>12.09.2023 ТР-1</v>
      </c>
      <c r="Z126" t="str">
        <f ca="1">IFERROR(__xludf.DUMMYFUNCTION("""COMPUTED_VALUE"""),"ООО «КЕРРИЛАЙН»")</f>
        <v>ООО «КЕРРИЛАЙН»</v>
      </c>
      <c r="AA126" t="str">
        <f ca="1">IFERROR(__xludf.DUMMYFUNCTION("""COMPUTED_VALUE"""),"11-274-01")</f>
        <v>11-274-01</v>
      </c>
      <c r="AB126" t="str">
        <f ca="1">IFERROR(__xludf.DUMMYFUNCTION("""COMPUTED_VALUE"""),"48 ДОН")</f>
        <v>48 ДОН</v>
      </c>
      <c r="AC126" t="str">
        <f ca="1">IFERROR(__xludf.DUMMYFUNCTION("""COMPUTED_VALUE"""),"49200 СЛАВЯНСК")</f>
        <v>49200 СЛАВЯНСК</v>
      </c>
      <c r="AD126" t="str">
        <f ca="1">IFERROR(__xludf.DUMMYFUNCTION("""COMPUTED_VALUE"""),"21.07.21 00-01")</f>
        <v>21.07.21 00-01</v>
      </c>
      <c r="AE126" t="str">
        <f ca="1">IFERROR(__xludf.DUMMYFUNCTION("""COMPUTED_VALUE"""),"570 ИCТEК КAЛЕНДАРНЫЙ CPOК ДEПOВCКОГО PEМOНТA")</f>
        <v>570 ИCТEК КAЛЕНДАРНЫЙ CPOК ДEПOВCКОГО PEМOНТA</v>
      </c>
      <c r="AF126" t="str">
        <f ca="1">IFERROR(__xludf.DUMMYFUNCTION("""COMPUTED_VALUE"""),"48 ДОН")</f>
        <v>48 ДОН</v>
      </c>
      <c r="AG126" t="str">
        <f ca="1">IFERROR(__xludf.DUMMYFUNCTION("""COMPUTED_VALUE"""),"49200 СЛАВЯНСК")</f>
        <v>49200 СЛАВЯНСК</v>
      </c>
      <c r="AH126" t="str">
        <f ca="1">IFERROR(__xludf.DUMMYFUNCTION("""COMPUTED_VALUE"""),"30.07.21 13-00")</f>
        <v>30.07.21 13-00</v>
      </c>
      <c r="AI126" s="21">
        <f ca="1">IFERROR(__xludf.DUMMYFUNCTION("""COMPUTED_VALUE"""),44420.357662037)</f>
        <v>44420.357662037</v>
      </c>
    </row>
    <row r="127" spans="1:35" ht="13" x14ac:dyDescent="0.15">
      <c r="A127">
        <f ca="1">IFERROR(__xludf.DUMMYFUNCTION("""COMPUTED_VALUE"""),323)</f>
        <v>323</v>
      </c>
      <c r="B127" t="str">
        <f ca="1">IFERROR(__xludf.DUMMYFUNCTION("""COMPUTED_VALUE"""),"Промдримлайт")</f>
        <v>Промдримлайт</v>
      </c>
      <c r="C127" t="str">
        <f ca="1">IFERROR(__xludf.DUMMYFUNCTION("""COMPUTED_VALUE"""),"Керрилайн 64 РФ")</f>
        <v>Керрилайн 64 РФ</v>
      </c>
      <c r="D127">
        <f ca="1">IFERROR(__xludf.DUMMYFUNCTION("""COMPUTED_VALUE"""),52708260)</f>
        <v>52708260</v>
      </c>
      <c r="E127" t="str">
        <f ca="1">IFERROR(__xludf.DUMMYFUNCTION("""COMPUTED_VALUE"""),"20 КРЫТЫЕ")</f>
        <v>20 КРЫТЫЕ</v>
      </c>
      <c r="F127">
        <f ca="1">IFERROR(__xludf.DUMMYFUNCTION("""COMPUTED_VALUE"""),42119)</f>
        <v>42119</v>
      </c>
      <c r="G127" t="str">
        <f ca="1">IFERROR(__xludf.DUMMYFUNCTION("""COMPUTED_VALUE"""),"ВАГОНЫ ЖД РЕМОН")</f>
        <v>ВАГОНЫ ЖД РЕМОН</v>
      </c>
      <c r="H127">
        <f ca="1">IFERROR(__xludf.DUMMYFUNCTION("""COMPUTED_VALUE"""),0)</f>
        <v>0</v>
      </c>
      <c r="I127">
        <f ca="1">IFERROR(__xludf.DUMMYFUNCTION("""COMPUTED_VALUE"""),9785)</f>
        <v>9785</v>
      </c>
      <c r="J127" t="str">
        <f ca="1">IFERROR(__xludf.DUMMYFUNCTION("""COMPUTED_VALUE"""),"3501 (49050-027-49200) ИМ.КОЖУШКО - СЛАВЯНСК")</f>
        <v>3501 (49050-027-49200) ИМ.КОЖУШКО - СЛАВЯНСК</v>
      </c>
      <c r="K127">
        <f ca="1">IFERROR(__xludf.DUMMYFUNCTION("""COMPUTED_VALUE"""),49200)</f>
        <v>49200</v>
      </c>
      <c r="L127" t="str">
        <f ca="1">IFERROR(__xludf.DUMMYFUNCTION("""COMPUTED_VALUE"""),"СЛАВЯНСК")</f>
        <v>СЛАВЯНСК</v>
      </c>
      <c r="M127" t="str">
        <f ca="1">IFERROR(__xludf.DUMMYFUNCTION("""COMPUTED_VALUE"""),"08.08.21 10-40")</f>
        <v>08.08.21 10-40</v>
      </c>
      <c r="N127" t="str">
        <f ca="1">IFERROR(__xludf.DUMMYFUNCTION("""COMPUTED_VALUE"""),"53 ВУ23")</f>
        <v>53 ВУ23</v>
      </c>
      <c r="O127">
        <f ca="1">IFERROR(__xludf.DUMMYFUNCTION("""COMPUTED_VALUE"""),49200)</f>
        <v>49200</v>
      </c>
      <c r="P127" t="str">
        <f ca="1">IFERROR(__xludf.DUMMYFUNCTION("""COMPUTED_VALUE"""),"СЛАВЯНСК")</f>
        <v>СЛАВЯНСК</v>
      </c>
      <c r="Q127">
        <f ca="1">IFERROR(__xludf.DUMMYFUNCTION("""COMPUTED_VALUE"""),46000)</f>
        <v>46000</v>
      </c>
      <c r="R127" t="str">
        <f ca="1">IFERROR(__xludf.DUMMYFUNCTION("""COMPUTED_VALUE"""),"ЗАПОРОЖ-ЛЕВ")</f>
        <v>ЗАПОРОЖ-ЛЕВ</v>
      </c>
      <c r="S127" t="str">
        <f ca="1">IFERROR(__xludf.DUMMYFUNCTION("""COMPUTED_VALUE"""),"04.08.21 04-05")</f>
        <v>04.08.21 04-05</v>
      </c>
      <c r="T127">
        <f ca="1">IFERROR(__xludf.DUMMYFUNCTION("""COMPUTED_VALUE"""),8331)</f>
        <v>8331</v>
      </c>
      <c r="U127" t="str">
        <f ca="1">IFERROR(__xludf.DUMMYFUNCTION("""COMPUTED_VALUE"""),"31.07.2023 ТР-1")</f>
        <v>31.07.2023 ТР-1</v>
      </c>
      <c r="Z127" t="str">
        <f ca="1">IFERROR(__xludf.DUMMYFUNCTION("""COMPUTED_VALUE"""),"ООО «КЕРРИЛАЙН»")</f>
        <v>ООО «КЕРРИЛАЙН»</v>
      </c>
      <c r="AA127" t="str">
        <f ca="1">IFERROR(__xludf.DUMMYFUNCTION("""COMPUTED_VALUE"""),"11-274-01")</f>
        <v>11-274-01</v>
      </c>
      <c r="AB127" t="str">
        <f ca="1">IFERROR(__xludf.DUMMYFUNCTION("""COMPUTED_VALUE"""),"48 ДОН")</f>
        <v>48 ДОН</v>
      </c>
      <c r="AC127" t="str">
        <f ca="1">IFERROR(__xludf.DUMMYFUNCTION("""COMPUTED_VALUE"""),"49200 СЛАВЯНСК")</f>
        <v>49200 СЛАВЯНСК</v>
      </c>
      <c r="AD127" t="str">
        <f ca="1">IFERROR(__xludf.DUMMYFUNCTION("""COMPUTED_VALUE"""),"07.08.21 12-08")</f>
        <v>07.08.21 12-08</v>
      </c>
      <c r="AE127" t="str">
        <f ca="1">IFERROR(__xludf.DUMMYFUNCTION("""COMPUTED_VALUE"""),"910 OТCУТCТВИE ПАСПОРТА ФOPМЫ ВУ-4М")</f>
        <v>910 OТCУТCТВИE ПАСПОРТА ФOPМЫ ВУ-4М</v>
      </c>
      <c r="AF127" t="str">
        <f ca="1">IFERROR(__xludf.DUMMYFUNCTION("""COMPUTED_VALUE"""),"48 ДОН")</f>
        <v>48 ДОН</v>
      </c>
      <c r="AG127" t="str">
        <f ca="1">IFERROR(__xludf.DUMMYFUNCTION("""COMPUTED_VALUE"""),"49200 СЛАВЯНСК")</f>
        <v>49200 СЛАВЯНСК</v>
      </c>
      <c r="AH127" t="str">
        <f ca="1">IFERROR(__xludf.DUMMYFUNCTION("""COMPUTED_VALUE"""),"24.07.21 16-00")</f>
        <v>24.07.21 16-00</v>
      </c>
      <c r="AI127" s="21">
        <f ca="1">IFERROR(__xludf.DUMMYFUNCTION("""COMPUTED_VALUE"""),44420.357662037)</f>
        <v>44420.357662037</v>
      </c>
    </row>
    <row r="128" spans="1:35" ht="13" x14ac:dyDescent="0.15">
      <c r="A128">
        <f ca="1">IFERROR(__xludf.DUMMYFUNCTION("""COMPUTED_VALUE"""),324)</f>
        <v>324</v>
      </c>
      <c r="B128" t="str">
        <f ca="1">IFERROR(__xludf.DUMMYFUNCTION("""COMPUTED_VALUE"""),"Промдримлайт")</f>
        <v>Промдримлайт</v>
      </c>
      <c r="C128" t="str">
        <f ca="1">IFERROR(__xludf.DUMMYFUNCTION("""COMPUTED_VALUE"""),"Керрилайн 64 РФ")</f>
        <v>Керрилайн 64 РФ</v>
      </c>
      <c r="D128">
        <f ca="1">IFERROR(__xludf.DUMMYFUNCTION("""COMPUTED_VALUE"""),52708229)</f>
        <v>52708229</v>
      </c>
      <c r="E128" t="str">
        <f ca="1">IFERROR(__xludf.DUMMYFUNCTION("""COMPUTED_VALUE"""),"20 КРЫТЫЕ")</f>
        <v>20 КРЫТЫЕ</v>
      </c>
      <c r="F128">
        <f ca="1">IFERROR(__xludf.DUMMYFUNCTION("""COMPUTED_VALUE"""),42119)</f>
        <v>42119</v>
      </c>
      <c r="G128" t="str">
        <f ca="1">IFERROR(__xludf.DUMMYFUNCTION("""COMPUTED_VALUE"""),"ВАГОНЫ ЖД РЕМОН")</f>
        <v>ВАГОНЫ ЖД РЕМОН</v>
      </c>
      <c r="H128">
        <f ca="1">IFERROR(__xludf.DUMMYFUNCTION("""COMPUTED_VALUE"""),0)</f>
        <v>0</v>
      </c>
      <c r="I128">
        <f ca="1">IFERROR(__xludf.DUMMYFUNCTION("""COMPUTED_VALUE"""),4714)</f>
        <v>4714</v>
      </c>
      <c r="J128" t="str">
        <f ca="1">IFERROR(__xludf.DUMMYFUNCTION("""COMPUTED_VALUE"""),"3505 (49000-077-49460) ЛИМАН - БАХМУТ")</f>
        <v>3505 (49000-077-49460) ЛИМАН - БАХМУТ</v>
      </c>
      <c r="K128">
        <f ca="1">IFERROR(__xludf.DUMMYFUNCTION("""COMPUTED_VALUE"""),49480)</f>
        <v>49480</v>
      </c>
      <c r="L128" t="str">
        <f ca="1">IFERROR(__xludf.DUMMYFUNCTION("""COMPUTED_VALUE"""),"СОЛЬ")</f>
        <v>СОЛЬ</v>
      </c>
      <c r="M128" t="str">
        <f ca="1">IFERROR(__xludf.DUMMYFUNCTION("""COMPUTED_VALUE"""),"22.06.21 16-15")</f>
        <v>22.06.21 16-15</v>
      </c>
      <c r="N128" t="str">
        <f ca="1">IFERROR(__xludf.DUMMYFUNCTION("""COMPUTED_VALUE"""),"98 ОТОТ")</f>
        <v>98 ОТОТ</v>
      </c>
      <c r="O128">
        <f ca="1">IFERROR(__xludf.DUMMYFUNCTION("""COMPUTED_VALUE"""),49480)</f>
        <v>49480</v>
      </c>
      <c r="P128" t="str">
        <f ca="1">IFERROR(__xludf.DUMMYFUNCTION("""COMPUTED_VALUE"""),"СОЛЬ")</f>
        <v>СОЛЬ</v>
      </c>
      <c r="Q128">
        <f ca="1">IFERROR(__xludf.DUMMYFUNCTION("""COMPUTED_VALUE"""),47600)</f>
        <v>47600</v>
      </c>
      <c r="R128" t="str">
        <f ca="1">IFERROR(__xludf.DUMMYFUNCTION("""COMPUTED_VALUE"""),"МЕЛИТОПОЛЬ")</f>
        <v>МЕЛИТОПОЛЬ</v>
      </c>
      <c r="S128" t="str">
        <f ca="1">IFERROR(__xludf.DUMMYFUNCTION("""COMPUTED_VALUE"""),"16.06.21 20-05")</f>
        <v>16.06.21 20-05</v>
      </c>
      <c r="T128">
        <f ca="1">IFERROR(__xludf.DUMMYFUNCTION("""COMPUTED_VALUE"""),9775)</f>
        <v>9775</v>
      </c>
      <c r="U128" t="str">
        <f ca="1">IFERROR(__xludf.DUMMYFUNCTION("""COMPUTED_VALUE"""),"12.12.2020 КР")</f>
        <v>12.12.2020 КР</v>
      </c>
      <c r="Z128" t="str">
        <f ca="1">IFERROR(__xludf.DUMMYFUNCTION("""COMPUTED_VALUE"""),"ООО «КЕРРИЛАЙН»")</f>
        <v>ООО «КЕРРИЛАЙН»</v>
      </c>
      <c r="AA128" t="str">
        <f ca="1">IFERROR(__xludf.DUMMYFUNCTION("""COMPUTED_VALUE"""),"11-274-01")</f>
        <v>11-274-01</v>
      </c>
      <c r="AB128" t="str">
        <f ca="1">IFERROR(__xludf.DUMMYFUNCTION("""COMPUTED_VALUE"""),"45 ПРИДН")</f>
        <v>45 ПРИДН</v>
      </c>
      <c r="AC128" t="str">
        <f ca="1">IFERROR(__xludf.DUMMYFUNCTION("""COMPUTED_VALUE"""),"47600 МЕЛИТОПОЛЬ")</f>
        <v>47600 МЕЛИТОПОЛЬ</v>
      </c>
      <c r="AD128" t="str">
        <f ca="1">IFERROR(__xludf.DUMMYFUNCTION("""COMPUTED_VALUE"""),"11.12.20 01-11")</f>
        <v>11.12.20 01-11</v>
      </c>
      <c r="AE128" t="str">
        <f ca="1">IFERROR(__xludf.DUMMYFUNCTION("""COMPUTED_VALUE"""),"579 ИCТEК CPOК CЛУЖБЫ")</f>
        <v>579 ИCТEК CPOК CЛУЖБЫ</v>
      </c>
      <c r="AF128" t="str">
        <f ca="1">IFERROR(__xludf.DUMMYFUNCTION("""COMPUTED_VALUE"""),"48 ДОН")</f>
        <v>48 ДОН</v>
      </c>
      <c r="AG128" t="str">
        <f ca="1">IFERROR(__xludf.DUMMYFUNCTION("""COMPUTED_VALUE"""),"49000 ЛИМАН")</f>
        <v>49000 ЛИМАН</v>
      </c>
      <c r="AH128" t="str">
        <f ca="1">IFERROR(__xludf.DUMMYFUNCTION("""COMPUTED_VALUE"""),"30.07.20 18-00")</f>
        <v>30.07.20 18-00</v>
      </c>
      <c r="AI128" s="21">
        <f ca="1">IFERROR(__xludf.DUMMYFUNCTION("""COMPUTED_VALUE"""),44420.357662037)</f>
        <v>44420.357662037</v>
      </c>
    </row>
    <row r="129" spans="1:35" ht="13" x14ac:dyDescent="0.15">
      <c r="A129">
        <f ca="1">IFERROR(__xludf.DUMMYFUNCTION("""COMPUTED_VALUE"""),325)</f>
        <v>325</v>
      </c>
      <c r="B129" t="str">
        <f ca="1">IFERROR(__xludf.DUMMYFUNCTION("""COMPUTED_VALUE"""),"Промдримлайт")</f>
        <v>Промдримлайт</v>
      </c>
      <c r="C129" t="str">
        <f ca="1">IFERROR(__xludf.DUMMYFUNCTION("""COMPUTED_VALUE"""),"Керрилайн 64")</f>
        <v>Керрилайн 64</v>
      </c>
      <c r="D129">
        <f ca="1">IFERROR(__xludf.DUMMYFUNCTION("""COMPUTED_VALUE"""),52708211)</f>
        <v>52708211</v>
      </c>
      <c r="E129" t="str">
        <f ca="1">IFERROR(__xludf.DUMMYFUNCTION("""COMPUTED_VALUE"""),"20 КРЫТЫЕ")</f>
        <v>20 КРЫТЫЕ</v>
      </c>
      <c r="F129">
        <f ca="1">IFERROR(__xludf.DUMMYFUNCTION("""COMPUTED_VALUE"""),42103)</f>
        <v>42103</v>
      </c>
      <c r="G129" t="str">
        <f ca="1">IFERROR(__xludf.DUMMYFUNCTION("""COMPUTED_VALUE"""),"ВАГОНЫ ЖД СВ")</f>
        <v>ВАГОНЫ ЖД СВ</v>
      </c>
      <c r="H129">
        <f ca="1">IFERROR(__xludf.DUMMYFUNCTION("""COMPUTED_VALUE"""),0)</f>
        <v>0</v>
      </c>
      <c r="I129">
        <f ca="1">IFERROR(__xludf.DUMMYFUNCTION("""COMPUTED_VALUE"""),4714)</f>
        <v>4714</v>
      </c>
      <c r="J129" t="str">
        <f ca="1">IFERROR(__xludf.DUMMYFUNCTION("""COMPUTED_VALUE"""),"3501 (49000-461-49460) ЛИМАН - БАХМУТ")</f>
        <v>3501 (49000-461-49460) ЛИМАН - БАХМУТ</v>
      </c>
      <c r="K129">
        <f ca="1">IFERROR(__xludf.DUMMYFUNCTION("""COMPUTED_VALUE"""),49480)</f>
        <v>49480</v>
      </c>
      <c r="L129" t="str">
        <f ca="1">IFERROR(__xludf.DUMMYFUNCTION("""COMPUTED_VALUE"""),"СОЛЬ")</f>
        <v>СОЛЬ</v>
      </c>
      <c r="M129" t="str">
        <f ca="1">IFERROR(__xludf.DUMMYFUNCTION("""COMPUTED_VALUE"""),"14.06.21 01-15")</f>
        <v>14.06.21 01-15</v>
      </c>
      <c r="N129" t="str">
        <f ca="1">IFERROR(__xludf.DUMMYFUNCTION("""COMPUTED_VALUE"""),"98 ОТОТ")</f>
        <v>98 ОТОТ</v>
      </c>
      <c r="O129">
        <f ca="1">IFERROR(__xludf.DUMMYFUNCTION("""COMPUTED_VALUE"""),49480)</f>
        <v>49480</v>
      </c>
      <c r="P129" t="str">
        <f ca="1">IFERROR(__xludf.DUMMYFUNCTION("""COMPUTED_VALUE"""),"СОЛЬ")</f>
        <v>СОЛЬ</v>
      </c>
      <c r="Q129">
        <f ca="1">IFERROR(__xludf.DUMMYFUNCTION("""COMPUTED_VALUE"""),49870)</f>
        <v>49870</v>
      </c>
      <c r="R129" t="str">
        <f ca="1">IFERROR(__xludf.DUMMYFUNCTION("""COMPUTED_VALUE"""),"РУБЕЖНОЕ")</f>
        <v>РУБЕЖНОЕ</v>
      </c>
      <c r="S129" t="str">
        <f ca="1">IFERROR(__xludf.DUMMYFUNCTION("""COMPUTED_VALUE"""),"11.06.21 00-50")</f>
        <v>11.06.21 00-50</v>
      </c>
      <c r="T129">
        <f ca="1">IFERROR(__xludf.DUMMYFUNCTION("""COMPUTED_VALUE"""),4456)</f>
        <v>4456</v>
      </c>
      <c r="U129" t="str">
        <f ca="1">IFERROR(__xludf.DUMMYFUNCTION("""COMPUTED_VALUE"""),"04.07.2022 ДР")</f>
        <v>04.07.2022 ДР</v>
      </c>
      <c r="Z129" t="str">
        <f ca="1">IFERROR(__xludf.DUMMYFUNCTION("""COMPUTED_VALUE"""),"ООО «КЕРРИЛАЙН»")</f>
        <v>ООО «КЕРРИЛАЙН»</v>
      </c>
      <c r="AA129" t="str">
        <f ca="1">IFERROR(__xludf.DUMMYFUNCTION("""COMPUTED_VALUE"""),"11-274-01")</f>
        <v>11-274-01</v>
      </c>
      <c r="AB129" t="str">
        <f ca="1">IFERROR(__xludf.DUMMYFUNCTION("""COMPUTED_VALUE"""),"43 ЮЖН")</f>
        <v>43 ЮЖН</v>
      </c>
      <c r="AC129" t="str">
        <f ca="1">IFERROR(__xludf.DUMMYFUNCTION("""COMPUTED_VALUE"""),"43000 КУПЯНСК-СОРТ")</f>
        <v>43000 КУПЯНСК-СОРТ</v>
      </c>
      <c r="AD129" t="str">
        <f ca="1">IFERROR(__xludf.DUMMYFUNCTION("""COMPUTED_VALUE"""),"30.06.19 22-36")</f>
        <v>30.06.19 22-36</v>
      </c>
      <c r="AE129" t="str">
        <f ca="1">IFERROR(__xludf.DUMMYFUNCTION("""COMPUTED_VALUE"""),"571 ИCТEК КAЛЕНДАРНЫЙ CPOК КAПИТAЛЬНОГО PEМOНТA")</f>
        <v>571 ИCТEК КAЛЕНДАРНЫЙ CPOК КAПИТAЛЬНОГО PEМOНТA</v>
      </c>
      <c r="AF129" t="str">
        <f ca="1">IFERROR(__xludf.DUMMYFUNCTION("""COMPUTED_VALUE"""),"43 ЮЖН")</f>
        <v>43 ЮЖН</v>
      </c>
      <c r="AG129" t="str">
        <f ca="1">IFERROR(__xludf.DUMMYFUNCTION("""COMPUTED_VALUE"""),"43000 КУПЯНСК-СОРТ")</f>
        <v>43000 КУПЯНСК-СОРТ</v>
      </c>
      <c r="AH129" t="str">
        <f ca="1">IFERROR(__xludf.DUMMYFUNCTION("""COMPUTED_VALUE"""),"04.07.19 08-30")</f>
        <v>04.07.19 08-30</v>
      </c>
      <c r="AI129" s="21">
        <f ca="1">IFERROR(__xludf.DUMMYFUNCTION("""COMPUTED_VALUE"""),44420.357662037)</f>
        <v>44420.357662037</v>
      </c>
    </row>
    <row r="130" spans="1:35" ht="13" x14ac:dyDescent="0.15">
      <c r="A130">
        <f ca="1">IFERROR(__xludf.DUMMYFUNCTION("""COMPUTED_VALUE"""),326)</f>
        <v>326</v>
      </c>
      <c r="B130" t="str">
        <f ca="1">IFERROR(__xludf.DUMMYFUNCTION("""COMPUTED_VALUE"""),"Промдримлайт")</f>
        <v>Промдримлайт</v>
      </c>
      <c r="C130" t="str">
        <f ca="1">IFERROR(__xludf.DUMMYFUNCTION("""COMPUTED_VALUE"""),"Керрилайн 59 РФ")</f>
        <v>Керрилайн 59 РФ</v>
      </c>
      <c r="D130">
        <f ca="1">IFERROR(__xludf.DUMMYFUNCTION("""COMPUTED_VALUE"""),52701968)</f>
        <v>52701968</v>
      </c>
      <c r="E130" t="str">
        <f ca="1">IFERROR(__xludf.DUMMYFUNCTION("""COMPUTED_VALUE"""),"20 КРЫТЫЕ")</f>
        <v>20 КРЫТЫЕ</v>
      </c>
      <c r="F130">
        <f ca="1">IFERROR(__xludf.DUMMYFUNCTION("""COMPUTED_VALUE"""),42116)</f>
        <v>42116</v>
      </c>
      <c r="G130" t="str">
        <f ca="1">IFERROR(__xludf.DUMMYFUNCTION("""COMPUTED_VALUE"""),"ВАГОН ДЛЯ ПРОВО")</f>
        <v>ВАГОН ДЛЯ ПРОВО</v>
      </c>
      <c r="H130">
        <f ca="1">IFERROR(__xludf.DUMMYFUNCTION("""COMPUTED_VALUE"""),1)</f>
        <v>1</v>
      </c>
      <c r="I130">
        <f ca="1">IFERROR(__xludf.DUMMYFUNCTION("""COMPUTED_VALUE"""),1185)</f>
        <v>1185</v>
      </c>
      <c r="J130" t="str">
        <f ca="1">IFERROR(__xludf.DUMMYFUNCTION("""COMPUTED_VALUE"""),"3601 (40000-226-40510) ОДЕССА-СОРТ - ОДЕССА-ЗАС I")</f>
        <v>3601 (40000-226-40510) ОДЕССА-СОРТ - ОДЕССА-ЗАС I</v>
      </c>
      <c r="K130">
        <f ca="1">IFERROR(__xludf.DUMMYFUNCTION("""COMPUTED_VALUE"""),40250)</f>
        <v>40250</v>
      </c>
      <c r="L130" t="str">
        <f ca="1">IFERROR(__xludf.DUMMYFUNCTION("""COMPUTED_VALUE"""),"ПАРОМНАЯ")</f>
        <v>ПАРОМНАЯ</v>
      </c>
      <c r="M130" t="str">
        <f ca="1">IFERROR(__xludf.DUMMYFUNCTION("""COMPUTED_VALUE"""),"12.08.21 06-35")</f>
        <v>12.08.21 06-35</v>
      </c>
      <c r="N130" t="str">
        <f ca="1">IFERROR(__xludf.DUMMYFUNCTION("""COMPUTED_VALUE"""),"49 ОСВО")</f>
        <v>49 ОСВО</v>
      </c>
      <c r="O130">
        <f ca="1">IFERROR(__xludf.DUMMYFUNCTION("""COMPUTED_VALUE"""),40250)</f>
        <v>40250</v>
      </c>
      <c r="P130" t="str">
        <f ca="1">IFERROR(__xludf.DUMMYFUNCTION("""COMPUTED_VALUE"""),"ПАРОМНАЯ")</f>
        <v>ПАРОМНАЯ</v>
      </c>
      <c r="Q130">
        <f ca="1">IFERROR(__xludf.DUMMYFUNCTION("""COMPUTED_VALUE"""),46000)</f>
        <v>46000</v>
      </c>
      <c r="R130" t="str">
        <f ca="1">IFERROR(__xludf.DUMMYFUNCTION("""COMPUTED_VALUE"""),"ЗАПОРОЖ-ЛЕВ")</f>
        <v>ЗАПОРОЖ-ЛЕВ</v>
      </c>
      <c r="S130" t="str">
        <f ca="1">IFERROR(__xludf.DUMMYFUNCTION("""COMPUTED_VALUE"""),"06.08.21 05-50")</f>
        <v>06.08.21 05-50</v>
      </c>
      <c r="T130">
        <f ca="1">IFERROR(__xludf.DUMMYFUNCTION("""COMPUTED_VALUE"""),3209)</f>
        <v>3209</v>
      </c>
      <c r="U130" t="str">
        <f ca="1">IFERROR(__xludf.DUMMYFUNCTION("""COMPUTED_VALUE"""),"09.08.2023 ТР-1")</f>
        <v>09.08.2023 ТР-1</v>
      </c>
      <c r="Z130" t="str">
        <f ca="1">IFERROR(__xludf.DUMMYFUNCTION("""COMPUTED_VALUE"""),"ООО «КЕРРИЛАЙН»")</f>
        <v>ООО «КЕРРИЛАЙН»</v>
      </c>
      <c r="AA130" t="str">
        <f ca="1">IFERROR(__xludf.DUMMYFUNCTION("""COMPUTED_VALUE"""),"11-274")</f>
        <v>11-274</v>
      </c>
      <c r="AB130" t="str">
        <f ca="1">IFERROR(__xludf.DUMMYFUNCTION("""COMPUTED_VALUE"""),"48 ДОН")</f>
        <v>48 ДОН</v>
      </c>
      <c r="AC130" t="str">
        <f ca="1">IFERROR(__xludf.DUMMYFUNCTION("""COMPUTED_VALUE"""),"49200 СЛАВЯНСК")</f>
        <v>49200 СЛАВЯНСК</v>
      </c>
      <c r="AD130" t="str">
        <f ca="1">IFERROR(__xludf.DUMMYFUNCTION("""COMPUTED_VALUE"""),"21.07.21 00-01")</f>
        <v>21.07.21 00-01</v>
      </c>
      <c r="AE130" t="str">
        <f ca="1">IFERROR(__xludf.DUMMYFUNCTION("""COMPUTED_VALUE"""),"570 ИCТEК КAЛЕНДАРНЫЙ CPOК ДEПOВCКОГО PEМOНТA")</f>
        <v>570 ИCТEК КAЛЕНДАРНЫЙ CPOК ДEПOВCКОГО PEМOНТA</v>
      </c>
      <c r="AF130" t="str">
        <f ca="1">IFERROR(__xludf.DUMMYFUNCTION("""COMPUTED_VALUE"""),"48 ДОН")</f>
        <v>48 ДОН</v>
      </c>
      <c r="AG130" t="str">
        <f ca="1">IFERROR(__xludf.DUMMYFUNCTION("""COMPUTED_VALUE"""),"49200 СЛАВЯНСК")</f>
        <v>49200 СЛАВЯНСК</v>
      </c>
      <c r="AH130" t="str">
        <f ca="1">IFERROR(__xludf.DUMMYFUNCTION("""COMPUTED_VALUE"""),"27.07.21 16-00")</f>
        <v>27.07.21 16-00</v>
      </c>
      <c r="AI130" s="21">
        <f ca="1">IFERROR(__xludf.DUMMYFUNCTION("""COMPUTED_VALUE"""),44420.357662037)</f>
        <v>44420.357662037</v>
      </c>
    </row>
    <row r="131" spans="1:35" ht="13" x14ac:dyDescent="0.15">
      <c r="A131">
        <f ca="1">IFERROR(__xludf.DUMMYFUNCTION("""COMPUTED_VALUE"""),327)</f>
        <v>327</v>
      </c>
      <c r="B131" t="str">
        <f ca="1">IFERROR(__xludf.DUMMYFUNCTION("""COMPUTED_VALUE"""),"Промдримлайт")</f>
        <v>Промдримлайт</v>
      </c>
      <c r="C131" t="str">
        <f ca="1">IFERROR(__xludf.DUMMYFUNCTION("""COMPUTED_VALUE"""),"Керрилайн 59")</f>
        <v>Керрилайн 59</v>
      </c>
      <c r="D131">
        <f ca="1">IFERROR(__xludf.DUMMYFUNCTION("""COMPUTED_VALUE"""),52701158)</f>
        <v>52701158</v>
      </c>
      <c r="E131" t="str">
        <f ca="1">IFERROR(__xludf.DUMMYFUNCTION("""COMPUTED_VALUE"""),"20 КРЫТЫЕ")</f>
        <v>20 КРЫТЫЕ</v>
      </c>
      <c r="F131">
        <f ca="1">IFERROR(__xludf.DUMMYFUNCTION("""COMPUTED_VALUE"""),42119)</f>
        <v>42119</v>
      </c>
      <c r="G131" t="str">
        <f ca="1">IFERROR(__xludf.DUMMYFUNCTION("""COMPUTED_VALUE"""),"ВАГОНЫ ЖД РЕМОН")</f>
        <v>ВАГОНЫ ЖД РЕМОН</v>
      </c>
      <c r="H131">
        <f ca="1">IFERROR(__xludf.DUMMYFUNCTION("""COMPUTED_VALUE"""),0)</f>
        <v>0</v>
      </c>
      <c r="I131">
        <f ca="1">IFERROR(__xludf.DUMMYFUNCTION("""COMPUTED_VALUE"""),9785)</f>
        <v>9785</v>
      </c>
      <c r="J131" t="str">
        <f ca="1">IFERROR(__xludf.DUMMYFUNCTION("""COMPUTED_VALUE"""),"5555 (49000-295-00080) ЛИМАН -")</f>
        <v>5555 (49000-295-00080) ЛИМАН -</v>
      </c>
      <c r="K131">
        <f ca="1">IFERROR(__xludf.DUMMYFUNCTION("""COMPUTED_VALUE"""),49200)</f>
        <v>49200</v>
      </c>
      <c r="L131" t="str">
        <f ca="1">IFERROR(__xludf.DUMMYFUNCTION("""COMPUTED_VALUE"""),"СЛАВЯНСК")</f>
        <v>СЛАВЯНСК</v>
      </c>
      <c r="M131" t="str">
        <f ca="1">IFERROR(__xludf.DUMMYFUNCTION("""COMPUTED_VALUE"""),"25.07.21 17-15")</f>
        <v>25.07.21 17-15</v>
      </c>
      <c r="N131" t="str">
        <f ca="1">IFERROR(__xludf.DUMMYFUNCTION("""COMPUTED_VALUE"""),"98 ОТОТ")</f>
        <v>98 ОТОТ</v>
      </c>
      <c r="O131">
        <f ca="1">IFERROR(__xludf.DUMMYFUNCTION("""COMPUTED_VALUE"""),49200)</f>
        <v>49200</v>
      </c>
      <c r="P131" t="str">
        <f ca="1">IFERROR(__xludf.DUMMYFUNCTION("""COMPUTED_VALUE"""),"СЛАВЯНСК")</f>
        <v>СЛАВЯНСК</v>
      </c>
      <c r="Q131">
        <f ca="1">IFERROR(__xludf.DUMMYFUNCTION("""COMPUTED_VALUE"""),49480)</f>
        <v>49480</v>
      </c>
      <c r="R131" t="str">
        <f ca="1">IFERROR(__xludf.DUMMYFUNCTION("""COMPUTED_VALUE"""),"СОЛЬ")</f>
        <v>СОЛЬ</v>
      </c>
      <c r="S131" t="str">
        <f ca="1">IFERROR(__xludf.DUMMYFUNCTION("""COMPUTED_VALUE"""),"14.07.21 19-20")</f>
        <v>14.07.21 19-20</v>
      </c>
      <c r="T131">
        <f ca="1">IFERROR(__xludf.DUMMYFUNCTION("""COMPUTED_VALUE"""),4714)</f>
        <v>4714</v>
      </c>
      <c r="U131" t="str">
        <f ca="1">IFERROR(__xludf.DUMMYFUNCTION("""COMPUTED_VALUE"""),"01.01.2023 ТР-1")</f>
        <v>01.01.2023 ТР-1</v>
      </c>
      <c r="Z131" t="str">
        <f ca="1">IFERROR(__xludf.DUMMYFUNCTION("""COMPUTED_VALUE"""),"ООО «КЕРРИЛАЙН»")</f>
        <v>ООО «КЕРРИЛАЙН»</v>
      </c>
      <c r="AA131" t="str">
        <f ca="1">IFERROR(__xludf.DUMMYFUNCTION("""COMPUTED_VALUE"""),"11-274")</f>
        <v>11-274</v>
      </c>
      <c r="AB131" t="str">
        <f ca="1">IFERROR(__xludf.DUMMYFUNCTION("""COMPUTED_VALUE"""),"48 ДОН")</f>
        <v>48 ДОН</v>
      </c>
      <c r="AC131" t="str">
        <f ca="1">IFERROR(__xludf.DUMMYFUNCTION("""COMPUTED_VALUE"""),"49200 СЛАВЯНСК")</f>
        <v>49200 СЛАВЯНСК</v>
      </c>
      <c r="AD131" t="str">
        <f ca="1">IFERROR(__xludf.DUMMYFUNCTION("""COMPUTED_VALUE"""),"20.07.21 20-01")</f>
        <v>20.07.21 20-01</v>
      </c>
      <c r="AE131" t="str">
        <f ca="1">IFERROR(__xludf.DUMMYFUNCTION("""COMPUTED_VALUE"""),"102 ТOНКИЙ ГPEБEНЬ")</f>
        <v>102 ТOНКИЙ ГPEБEНЬ</v>
      </c>
      <c r="AF131" t="str">
        <f ca="1">IFERROR(__xludf.DUMMYFUNCTION("""COMPUTED_VALUE"""),"45 ПРИДН")</f>
        <v>45 ПРИДН</v>
      </c>
      <c r="AG131" t="str">
        <f ca="1">IFERROR(__xludf.DUMMYFUNCTION("""COMPUTED_VALUE"""),"47600 МЕЛИТОПОЛЬ")</f>
        <v>47600 МЕЛИТОПОЛЬ</v>
      </c>
      <c r="AH131" t="str">
        <f ca="1">IFERROR(__xludf.DUMMYFUNCTION("""COMPUTED_VALUE"""),"10.03.20 18-10")</f>
        <v>10.03.20 18-10</v>
      </c>
      <c r="AI131" s="21">
        <f ca="1">IFERROR(__xludf.DUMMYFUNCTION("""COMPUTED_VALUE"""),44420.357662037)</f>
        <v>44420.357662037</v>
      </c>
    </row>
    <row r="132" spans="1:35" ht="13" x14ac:dyDescent="0.15">
      <c r="A132">
        <f ca="1">IFERROR(__xludf.DUMMYFUNCTION("""COMPUTED_VALUE"""),328)</f>
        <v>328</v>
      </c>
      <c r="B132" t="str">
        <f ca="1">IFERROR(__xludf.DUMMYFUNCTION("""COMPUTED_VALUE"""),"Костанза")</f>
        <v>Костанза</v>
      </c>
      <c r="C132" t="str">
        <f ca="1">IFERROR(__xludf.DUMMYFUNCTION("""COMPUTED_VALUE"""),"Керрилайн")</f>
        <v>Керрилайн</v>
      </c>
      <c r="D132">
        <f ca="1">IFERROR(__xludf.DUMMYFUNCTION("""COMPUTED_VALUE"""),52510708)</f>
        <v>52510708</v>
      </c>
      <c r="E132" t="str">
        <f ca="1">IFERROR(__xludf.DUMMYFUNCTION("""COMPUTED_VALUE"""),"20 КРЫТЫЕ")</f>
        <v>20 КРЫТЫЕ</v>
      </c>
      <c r="F132">
        <f ca="1">IFERROR(__xludf.DUMMYFUNCTION("""COMPUTED_VALUE"""),42103)</f>
        <v>42103</v>
      </c>
      <c r="G132" t="str">
        <f ca="1">IFERROR(__xludf.DUMMYFUNCTION("""COMPUTED_VALUE"""),"ВАГОНЫ ЖД СВ")</f>
        <v>ВАГОНЫ ЖД СВ</v>
      </c>
      <c r="H132">
        <f ca="1">IFERROR(__xludf.DUMMYFUNCTION("""COMPUTED_VALUE"""),0)</f>
        <v>0</v>
      </c>
      <c r="I132">
        <f ca="1">IFERROR(__xludf.DUMMYFUNCTION("""COMPUTED_VALUE"""),4714)</f>
        <v>4714</v>
      </c>
      <c r="J132" t="str">
        <f ca="1">IFERROR(__xludf.DUMMYFUNCTION("""COMPUTED_VALUE"""),"5555 (42500-445-00010) КРЕМЕНЧУГ -")</f>
        <v>5555 (42500-445-00010) КРЕМЕНЧУГ -</v>
      </c>
      <c r="K132">
        <f ca="1">IFERROR(__xludf.DUMMYFUNCTION("""COMPUTED_VALUE"""),42500)</f>
        <v>42500</v>
      </c>
      <c r="L132" t="str">
        <f ca="1">IFERROR(__xludf.DUMMYFUNCTION("""COMPUTED_VALUE"""),"КРЕМЕНЧУГ")</f>
        <v>КРЕМЕНЧУГ</v>
      </c>
      <c r="M132" t="str">
        <f ca="1">IFERROR(__xludf.DUMMYFUNCTION("""COMPUTED_VALUE"""),"11.08.21 18-40")</f>
        <v>11.08.21 18-40</v>
      </c>
      <c r="N132" t="str">
        <f ca="1">IFERROR(__xludf.DUMMYFUNCTION("""COMPUTED_VALUE"""),"92 ЗДРЖ")</f>
        <v>92 ЗДРЖ</v>
      </c>
      <c r="O132">
        <f ca="1">IFERROR(__xludf.DUMMYFUNCTION("""COMPUTED_VALUE"""),49480)</f>
        <v>49480</v>
      </c>
      <c r="P132" t="str">
        <f ca="1">IFERROR(__xludf.DUMMYFUNCTION("""COMPUTED_VALUE"""),"СОЛЬ")</f>
        <v>СОЛЬ</v>
      </c>
      <c r="Q132">
        <f ca="1">IFERROR(__xludf.DUMMYFUNCTION("""COMPUTED_VALUE"""),42500)</f>
        <v>42500</v>
      </c>
      <c r="R132" t="str">
        <f ca="1">IFERROR(__xludf.DUMMYFUNCTION("""COMPUTED_VALUE"""),"КРЕМЕНЧУГ")</f>
        <v>КРЕМЕНЧУГ</v>
      </c>
      <c r="S132" t="str">
        <f ca="1">IFERROR(__xludf.DUMMYFUNCTION("""COMPUTED_VALUE"""),"11.08.21 18-40")</f>
        <v>11.08.21 18-40</v>
      </c>
      <c r="T132">
        <f ca="1">IFERROR(__xludf.DUMMYFUNCTION("""COMPUTED_VALUE"""),8200)</f>
        <v>8200</v>
      </c>
      <c r="U132" t="str">
        <f ca="1">IFERROR(__xludf.DUMMYFUNCTION("""COMPUTED_VALUE"""),"09.11.2021 ДР")</f>
        <v>09.11.2021 ДР</v>
      </c>
      <c r="Z132" t="str">
        <f ca="1">IFERROR(__xludf.DUMMYFUNCTION("""COMPUTED_VALUE"""),"ООО «КЕРРИЛАЙН»")</f>
        <v>ООО «КЕРРИЛАЙН»</v>
      </c>
      <c r="AA132" t="str">
        <f ca="1">IFERROR(__xludf.DUMMYFUNCTION("""COMPUTED_VALUE"""),"11-066-05")</f>
        <v>11-066-05</v>
      </c>
      <c r="AB132" t="str">
        <f ca="1">IFERROR(__xludf.DUMMYFUNCTION("""COMPUTED_VALUE"""),"48 ДОН")</f>
        <v>48 ДОН</v>
      </c>
      <c r="AC132" t="str">
        <f ca="1">IFERROR(__xludf.DUMMYFUNCTION("""COMPUTED_VALUE"""),"49000 ЛИМАН")</f>
        <v>49000 ЛИМАН</v>
      </c>
      <c r="AD132" t="str">
        <f ca="1">IFERROR(__xludf.DUMMYFUNCTION("""COMPUTED_VALUE"""),"06.08.21 20-10")</f>
        <v>06.08.21 20-10</v>
      </c>
      <c r="AE132" t="str">
        <f ca="1">IFERROR(__xludf.DUMMYFUNCTION("""COMPUTED_VALUE"""),"220 НECOOТВEТCТВИE ЗAЗОРОВ CКOЛЬЗУНA")</f>
        <v>220 НECOOТВEТCТВИE ЗAЗОРОВ CКOЛЬЗУНA</v>
      </c>
      <c r="AF132" t="str">
        <f ca="1">IFERROR(__xludf.DUMMYFUNCTION("""COMPUTED_VALUE"""),"48 ДОН")</f>
        <v>48 ДОН</v>
      </c>
      <c r="AG132" t="str">
        <f ca="1">IFERROR(__xludf.DUMMYFUNCTION("""COMPUTED_VALUE"""),"49000 ЛИМАН")</f>
        <v>49000 ЛИМАН</v>
      </c>
      <c r="AH132" t="str">
        <f ca="1">IFERROR(__xludf.DUMMYFUNCTION("""COMPUTED_VALUE"""),"08.08.21 17-00")</f>
        <v>08.08.21 17-00</v>
      </c>
      <c r="AI132" s="21">
        <f ca="1">IFERROR(__xludf.DUMMYFUNCTION("""COMPUTED_VALUE"""),44420.357662037)</f>
        <v>44420.357662037</v>
      </c>
    </row>
    <row r="133" spans="1:35" ht="13" x14ac:dyDescent="0.15">
      <c r="A133">
        <f ca="1">IFERROR(__xludf.DUMMYFUNCTION("""COMPUTED_VALUE"""),332)</f>
        <v>332</v>
      </c>
      <c r="B133" t="str">
        <f ca="1">IFERROR(__xludf.DUMMYFUNCTION("""COMPUTED_VALUE"""),"Кнауф")</f>
        <v>Кнауф</v>
      </c>
      <c r="C133" t="str">
        <f ca="1">IFERROR(__xludf.DUMMYFUNCTION("""COMPUTED_VALUE"""),"ООО ""Укррос-Транс""")</f>
        <v>ООО "Укррос-Транс"</v>
      </c>
      <c r="D133">
        <f ca="1">IFERROR(__xludf.DUMMYFUNCTION("""COMPUTED_VALUE"""),52530292)</f>
        <v>52530292</v>
      </c>
      <c r="E133" t="str">
        <f ca="1">IFERROR(__xludf.DUMMYFUNCTION("""COMPUTED_VALUE"""),"20 КРЫТЫЕ")</f>
        <v>20 КРЫТЫЕ</v>
      </c>
      <c r="F133">
        <f ca="1">IFERROR(__xludf.DUMMYFUNCTION("""COMPUTED_VALUE"""),42103)</f>
        <v>42103</v>
      </c>
      <c r="G133" t="str">
        <f ca="1">IFERROR(__xludf.DUMMYFUNCTION("""COMPUTED_VALUE"""),"ВАГОНЫ ЖД СВ")</f>
        <v>ВАГОНЫ ЖД СВ</v>
      </c>
      <c r="H133">
        <f ca="1">IFERROR(__xludf.DUMMYFUNCTION("""COMPUTED_VALUE"""),0)</f>
        <v>0</v>
      </c>
      <c r="I133">
        <f ca="1">IFERROR(__xludf.DUMMYFUNCTION("""COMPUTED_VALUE"""),4714)</f>
        <v>4714</v>
      </c>
      <c r="J133" t="str">
        <f ca="1">IFERROR(__xludf.DUMMYFUNCTION("""COMPUTED_VALUE"""),"3503 (44060-037-44020) ИНДУСТРИАЛЬН - ОСНОВА")</f>
        <v>3503 (44060-037-44020) ИНДУСТРИАЛЬН - ОСНОВА</v>
      </c>
      <c r="K133">
        <f ca="1">IFERROR(__xludf.DUMMYFUNCTION("""COMPUTED_VALUE"""),44020)</f>
        <v>44020</v>
      </c>
      <c r="L133" t="str">
        <f ca="1">IFERROR(__xludf.DUMMYFUNCTION("""COMPUTED_VALUE"""),"ОСНОВА")</f>
        <v>ОСНОВА</v>
      </c>
      <c r="M133" t="str">
        <f ca="1">IFERROR(__xludf.DUMMYFUNCTION("""COMPUTED_VALUE"""),"12.08.21 01-21")</f>
        <v>12.08.21 01-21</v>
      </c>
      <c r="N133" t="str">
        <f ca="1">IFERROR(__xludf.DUMMYFUNCTION("""COMPUTED_VALUE"""),"04 РАСФ")</f>
        <v>04 РАСФ</v>
      </c>
      <c r="O133">
        <f ca="1">IFERROR(__xludf.DUMMYFUNCTION("""COMPUTED_VALUE"""),49480)</f>
        <v>49480</v>
      </c>
      <c r="P133" t="str">
        <f ca="1">IFERROR(__xludf.DUMMYFUNCTION("""COMPUTED_VALUE"""),"СОЛЬ")</f>
        <v>СОЛЬ</v>
      </c>
      <c r="Q133">
        <f ca="1">IFERROR(__xludf.DUMMYFUNCTION("""COMPUTED_VALUE"""),44050)</f>
        <v>44050</v>
      </c>
      <c r="R133" t="str">
        <f ca="1">IFERROR(__xludf.DUMMYFUNCTION("""COMPUTED_VALUE"""),"ХАРЬКОВ-БАЛ")</f>
        <v>ХАРЬКОВ-БАЛ</v>
      </c>
      <c r="S133" t="str">
        <f ca="1">IFERROR(__xludf.DUMMYFUNCTION("""COMPUTED_VALUE"""),"10.08.21 14-30")</f>
        <v>10.08.21 14-30</v>
      </c>
      <c r="T133">
        <f ca="1">IFERROR(__xludf.DUMMYFUNCTION("""COMPUTED_VALUE"""),1494)</f>
        <v>1494</v>
      </c>
      <c r="U133" t="str">
        <f ca="1">IFERROR(__xludf.DUMMYFUNCTION("""COMPUTED_VALUE"""),"30.11.2022 ТР-1")</f>
        <v>30.11.2022 ТР-1</v>
      </c>
      <c r="Z133" t="str">
        <f ca="1">IFERROR(__xludf.DUMMYFUNCTION("""COMPUTED_VALUE"""),"ООО ""Укррос-Транс""")</f>
        <v>ООО "Укррос-Транс"</v>
      </c>
      <c r="AA133" t="str">
        <f ca="1">IFERROR(__xludf.DUMMYFUNCTION("""COMPUTED_VALUE"""),"11-276")</f>
        <v>11-276</v>
      </c>
      <c r="AB133" t="str">
        <f ca="1">IFERROR(__xludf.DUMMYFUNCTION("""COMPUTED_VALUE"""),"40 ОД")</f>
        <v>40 ОД</v>
      </c>
      <c r="AC133" t="str">
        <f ca="1">IFERROR(__xludf.DUMMYFUNCTION("""COMPUTED_VALUE"""),"41000 ЗНАМЕНКА")</f>
        <v>41000 ЗНАМЕНКА</v>
      </c>
      <c r="AD133" t="str">
        <f ca="1">IFERROR(__xludf.DUMMYFUNCTION("""COMPUTED_VALUE"""),"01.03.21 12-40")</f>
        <v>01.03.21 12-40</v>
      </c>
      <c r="AE133" t="str">
        <f ca="1">IFERROR(__xludf.DUMMYFUNCTION("""COMPUTED_VALUE"""),"570 ИCТEК КAЛЕНДАРНЫЙ CPOК ДEПOВCКОГО PEМOНТA")</f>
        <v>570 ИCТEК КAЛЕНДАРНЫЙ CPOК ДEПOВCКОГО PEМOНТA</v>
      </c>
      <c r="AF133" t="str">
        <f ca="1">IFERROR(__xludf.DUMMYFUNCTION("""COMPUTED_VALUE"""),"40 ОД")</f>
        <v>40 ОД</v>
      </c>
      <c r="AG133" t="str">
        <f ca="1">IFERROR(__xludf.DUMMYFUNCTION("""COMPUTED_VALUE"""),"41000 ЗНАМЕНКА")</f>
        <v>41000 ЗНАМЕНКА</v>
      </c>
      <c r="AH133" t="str">
        <f ca="1">IFERROR(__xludf.DUMMYFUNCTION("""COMPUTED_VALUE"""),"03.03.21 15-00")</f>
        <v>03.03.21 15-00</v>
      </c>
      <c r="AI133" s="21">
        <f ca="1">IFERROR(__xludf.DUMMYFUNCTION("""COMPUTED_VALUE"""),44420.357662037)</f>
        <v>44420.357662037</v>
      </c>
    </row>
    <row r="134" spans="1:35" ht="13" x14ac:dyDescent="0.15">
      <c r="A134">
        <f ca="1">IFERROR(__xludf.DUMMYFUNCTION("""COMPUTED_VALUE"""),333)</f>
        <v>333</v>
      </c>
      <c r="B134" t="str">
        <f ca="1">IFERROR(__xludf.DUMMYFUNCTION("""COMPUTED_VALUE"""),"Николаевцемент")</f>
        <v>Николаевцемент</v>
      </c>
      <c r="C134" t="str">
        <f ca="1">IFERROR(__xludf.DUMMYFUNCTION("""COMPUTED_VALUE"""),"ООО ""Укррос-Транс""")</f>
        <v>ООО "Укррос-Транс"</v>
      </c>
      <c r="D134">
        <f ca="1">IFERROR(__xludf.DUMMYFUNCTION("""COMPUTED_VALUE"""),52531357)</f>
        <v>52531357</v>
      </c>
      <c r="E134" t="str">
        <f ca="1">IFERROR(__xludf.DUMMYFUNCTION("""COMPUTED_VALUE"""),"20 КРЫТЫЕ")</f>
        <v>20 КРЫТЫЕ</v>
      </c>
      <c r="F134">
        <f ca="1">IFERROR(__xludf.DUMMYFUNCTION("""COMPUTED_VALUE"""),23304)</f>
        <v>23304</v>
      </c>
      <c r="G134" t="str">
        <f ca="1">IFERROR(__xludf.DUMMYFUNCTION("""COMPUTED_VALUE"""),"ГИПС ПР")</f>
        <v>ГИПС ПР</v>
      </c>
      <c r="H134">
        <f ca="1">IFERROR(__xludf.DUMMYFUNCTION("""COMPUTED_VALUE"""),68)</f>
        <v>68</v>
      </c>
      <c r="I134">
        <f ca="1">IFERROR(__xludf.DUMMYFUNCTION("""COMPUTED_VALUE"""),3314)</f>
        <v>3314</v>
      </c>
      <c r="J134" t="str">
        <f ca="1">IFERROR(__xludf.DUMMYFUNCTION("""COMPUTED_VALUE"""),"2715 (44020-178-32000) ОСНОВА - ДАРНИЦА")</f>
        <v>2715 (44020-178-32000) ОСНОВА - ДАРНИЦА</v>
      </c>
      <c r="K134">
        <f ca="1">IFERROR(__xludf.DUMMYFUNCTION("""COMPUTED_VALUE"""),32300)</f>
        <v>32300</v>
      </c>
      <c r="L134" t="str">
        <f ca="1">IFERROR(__xludf.DUMMYFUNCTION("""COMPUTED_VALUE"""),"ЯГОТИН")</f>
        <v>ЯГОТИН</v>
      </c>
      <c r="M134" t="str">
        <f ca="1">IFERROR(__xludf.DUMMYFUNCTION("""COMPUTED_VALUE"""),"12.08.21 08-20")</f>
        <v>12.08.21 08-20</v>
      </c>
      <c r="N134" t="str">
        <f ca="1">IFERROR(__xludf.DUMMYFUNCTION("""COMPUTED_VALUE"""),"02 ОТПР")</f>
        <v>02 ОТПР</v>
      </c>
      <c r="O134">
        <f ca="1">IFERROR(__xludf.DUMMYFUNCTION("""COMPUTED_VALUE"""),32040)</f>
        <v>32040</v>
      </c>
      <c r="P134" t="str">
        <f ca="1">IFERROR(__xludf.DUMMYFUNCTION("""COMPUTED_VALUE"""),"ГРУШКИ")</f>
        <v>ГРУШКИ</v>
      </c>
      <c r="Q134">
        <f ca="1">IFERROR(__xludf.DUMMYFUNCTION("""COMPUTED_VALUE"""),49620)</f>
        <v>49620</v>
      </c>
      <c r="R134" t="str">
        <f ca="1">IFERROR(__xludf.DUMMYFUNCTION("""COMPUTED_VALUE"""),"ДЕКОНСКАЯ")</f>
        <v>ДЕКОНСКАЯ</v>
      </c>
      <c r="S134" t="str">
        <f ca="1">IFERROR(__xludf.DUMMYFUNCTION("""COMPUTED_VALUE"""),"08.08.21 07-45")</f>
        <v>08.08.21 07-45</v>
      </c>
      <c r="T134">
        <f ca="1">IFERROR(__xludf.DUMMYFUNCTION("""COMPUTED_VALUE"""),4149)</f>
        <v>4149</v>
      </c>
      <c r="U134" t="str">
        <f ca="1">IFERROR(__xludf.DUMMYFUNCTION("""COMPUTED_VALUE"""),"22.05.2024 ДР")</f>
        <v>22.05.2024 ДР</v>
      </c>
      <c r="Z134" t="str">
        <f ca="1">IFERROR(__xludf.DUMMYFUNCTION("""COMPUTED_VALUE"""),"ООО ""Укррос-Транс""")</f>
        <v>ООО "Укррос-Транс"</v>
      </c>
      <c r="AA134" t="str">
        <f ca="1">IFERROR(__xludf.DUMMYFUNCTION("""COMPUTED_VALUE"""),"11-270")</f>
        <v>11-270</v>
      </c>
      <c r="AB134" t="str">
        <f ca="1">IFERROR(__xludf.DUMMYFUNCTION("""COMPUTED_VALUE"""),"32 Ю-ЗАП")</f>
        <v>32 Ю-ЗАП</v>
      </c>
      <c r="AC134" t="str">
        <f ca="1">IFERROR(__xludf.DUMMYFUNCTION("""COMPUTED_VALUE"""),"33000 ЖМЕРИНКА")</f>
        <v>33000 ЖМЕРИНКА</v>
      </c>
      <c r="AD134" t="str">
        <f ca="1">IFERROR(__xludf.DUMMYFUNCTION("""COMPUTED_VALUE"""),"06.05.21 14-52")</f>
        <v>06.05.21 14-52</v>
      </c>
      <c r="AE134" t="str">
        <f ca="1">IFERROR(__xludf.DUMMYFUNCTION("""COMPUTED_VALUE"""),"571 ИCТEК КAЛЕНДАРНЫЙ CPOК КAПИТAЛЬНОГО PEМOНТA")</f>
        <v>571 ИCТEК КAЛЕНДАРНЫЙ CPOК КAПИТAЛЬНОГО PEМOНТA</v>
      </c>
      <c r="AF134" t="str">
        <f ca="1">IFERROR(__xludf.DUMMYFUNCTION("""COMPUTED_VALUE"""),"32 Ю-ЗАП")</f>
        <v>32 Ю-ЗАП</v>
      </c>
      <c r="AG134" t="str">
        <f ca="1">IFERROR(__xludf.DUMMYFUNCTION("""COMPUTED_VALUE"""),"33000 ЖМЕРИНКА")</f>
        <v>33000 ЖМЕРИНКА</v>
      </c>
      <c r="AH134" t="str">
        <f ca="1">IFERROR(__xludf.DUMMYFUNCTION("""COMPUTED_VALUE"""),"22.05.21 17-31")</f>
        <v>22.05.21 17-31</v>
      </c>
      <c r="AI134" s="21">
        <f ca="1">IFERROR(__xludf.DUMMYFUNCTION("""COMPUTED_VALUE"""),44420.357662037)</f>
        <v>44420.357662037</v>
      </c>
    </row>
    <row r="135" spans="1:35" ht="13" x14ac:dyDescent="0.15">
      <c r="A135">
        <f ca="1">IFERROR(__xludf.DUMMYFUNCTION("""COMPUTED_VALUE"""),334)</f>
        <v>334</v>
      </c>
      <c r="B135" t="str">
        <f ca="1">IFERROR(__xludf.DUMMYFUNCTION("""COMPUTED_VALUE"""),"Николаевцемент")</f>
        <v>Николаевцемент</v>
      </c>
      <c r="C135" t="str">
        <f ca="1">IFERROR(__xludf.DUMMYFUNCTION("""COMPUTED_VALUE"""),"ООО ""Укррос-Транс""")</f>
        <v>ООО "Укррос-Транс"</v>
      </c>
      <c r="D135">
        <f ca="1">IFERROR(__xludf.DUMMYFUNCTION("""COMPUTED_VALUE"""),52576832)</f>
        <v>52576832</v>
      </c>
      <c r="E135" t="str">
        <f ca="1">IFERROR(__xludf.DUMMYFUNCTION("""COMPUTED_VALUE"""),"20 КРЫТЫЕ")</f>
        <v>20 КРЫТЫЕ</v>
      </c>
      <c r="F135">
        <f ca="1">IFERROR(__xludf.DUMMYFUNCTION("""COMPUTED_VALUE"""),42119)</f>
        <v>42119</v>
      </c>
      <c r="G135" t="str">
        <f ca="1">IFERROR(__xludf.DUMMYFUNCTION("""COMPUTED_VALUE"""),"ВАГОНЫ ЖД РЕМОН")</f>
        <v>ВАГОНЫ ЖД РЕМОН</v>
      </c>
      <c r="H135">
        <f ca="1">IFERROR(__xludf.DUMMYFUNCTION("""COMPUTED_VALUE"""),0)</f>
        <v>0</v>
      </c>
      <c r="I135">
        <f ca="1">IFERROR(__xludf.DUMMYFUNCTION("""COMPUTED_VALUE"""),1426)</f>
        <v>1426</v>
      </c>
      <c r="J135" t="str">
        <f ca="1">IFERROR(__xludf.DUMMYFUNCTION("""COMPUTED_VALUE"""),"5555 (33000-388-00020) ЖМЕРИНКА -")</f>
        <v>5555 (33000-388-00020) ЖМЕРИНКА -</v>
      </c>
      <c r="K135">
        <f ca="1">IFERROR(__xludf.DUMMYFUNCTION("""COMPUTED_VALUE"""),33000)</f>
        <v>33000</v>
      </c>
      <c r="L135" t="str">
        <f ca="1">IFERROR(__xludf.DUMMYFUNCTION("""COMPUTED_VALUE"""),"ЖМЕРИНКА")</f>
        <v>ЖМЕРИНКА</v>
      </c>
      <c r="M135" t="str">
        <f ca="1">IFERROR(__xludf.DUMMYFUNCTION("""COMPUTED_VALUE"""),"11.08.21 11-00")</f>
        <v>11.08.21 11-00</v>
      </c>
      <c r="N135" t="str">
        <f ca="1">IFERROR(__xludf.DUMMYFUNCTION("""COMPUTED_VALUE"""),"98 ОТОТ")</f>
        <v>98 ОТОТ</v>
      </c>
      <c r="O135">
        <f ca="1">IFERROR(__xludf.DUMMYFUNCTION("""COMPUTED_VALUE"""),33000)</f>
        <v>33000</v>
      </c>
      <c r="P135" t="str">
        <f ca="1">IFERROR(__xludf.DUMMYFUNCTION("""COMPUTED_VALUE"""),"ЖМЕРИНКА")</f>
        <v>ЖМЕРИНКА</v>
      </c>
      <c r="Q135">
        <f ca="1">IFERROR(__xludf.DUMMYFUNCTION("""COMPUTED_VALUE"""),37030)</f>
        <v>37030</v>
      </c>
      <c r="R135" t="str">
        <f ca="1">IFERROR(__xludf.DUMMYFUNCTION("""COMPUTED_VALUE"""),"СКНИЛОВ")</f>
        <v>СКНИЛОВ</v>
      </c>
      <c r="S135" t="str">
        <f ca="1">IFERROR(__xludf.DUMMYFUNCTION("""COMPUTED_VALUE"""),"07.08.21 13-40")</f>
        <v>07.08.21 13-40</v>
      </c>
      <c r="T135">
        <f ca="1">IFERROR(__xludf.DUMMYFUNCTION("""COMPUTED_VALUE"""),8200)</f>
        <v>8200</v>
      </c>
      <c r="U135" t="str">
        <f ca="1">IFERROR(__xludf.DUMMYFUNCTION("""COMPUTED_VALUE"""),"25.08.2021 ДР")</f>
        <v>25.08.2021 ДР</v>
      </c>
      <c r="Z135" t="str">
        <f ca="1">IFERROR(__xludf.DUMMYFUNCTION("""COMPUTED_VALUE"""),"ООО ""Укррос-Транс""")</f>
        <v>ООО "Укррос-Транс"</v>
      </c>
      <c r="AA135" t="str">
        <f ca="1">IFERROR(__xludf.DUMMYFUNCTION("""COMPUTED_VALUE"""),"11-270")</f>
        <v>11-270</v>
      </c>
      <c r="AB135" t="str">
        <f ca="1">IFERROR(__xludf.DUMMYFUNCTION("""COMPUTED_VALUE"""),"32 Ю-ЗАП")</f>
        <v>32 Ю-ЗАП</v>
      </c>
      <c r="AC135" t="str">
        <f ca="1">IFERROR(__xludf.DUMMYFUNCTION("""COMPUTED_VALUE"""),"33000 ЖМЕРИНКА")</f>
        <v>33000 ЖМЕРИНКА</v>
      </c>
      <c r="AD135" t="str">
        <f ca="1">IFERROR(__xludf.DUMMYFUNCTION("""COMPUTED_VALUE"""),"11.08.21 10-35")</f>
        <v>11.08.21 10-35</v>
      </c>
      <c r="AE135" t="str">
        <f ca="1">IFERROR(__xludf.DUMMYFUNCTION("""COMPUTED_VALUE"""),"570 ИCТEК КAЛЕНДАРНЫЙ CPOК ДEПOВCКОГО PEМOНТA")</f>
        <v>570 ИCТEК КAЛЕНДАРНЫЙ CPOК ДEПOВCКОГО PEМOНТA</v>
      </c>
      <c r="AF135" t="str">
        <f ca="1">IFERROR(__xludf.DUMMYFUNCTION("""COMPUTED_VALUE"""),"35 ЛЬВ")</f>
        <v>35 ЛЬВ</v>
      </c>
      <c r="AG135" t="str">
        <f ca="1">IFERROR(__xludf.DUMMYFUNCTION("""COMPUTED_VALUE"""),"35400 КОВЕЛЬ")</f>
        <v>35400 КОВЕЛЬ</v>
      </c>
      <c r="AH135" t="str">
        <f ca="1">IFERROR(__xludf.DUMMYFUNCTION("""COMPUTED_VALUE"""),"01.04.20 18-30")</f>
        <v>01.04.20 18-30</v>
      </c>
      <c r="AI135" s="21">
        <f ca="1">IFERROR(__xludf.DUMMYFUNCTION("""COMPUTED_VALUE"""),44420.357662037)</f>
        <v>44420.357662037</v>
      </c>
    </row>
    <row r="136" spans="1:35" ht="13" x14ac:dyDescent="0.15">
      <c r="A136">
        <f ca="1">IFERROR(__xludf.DUMMYFUNCTION("""COMPUTED_VALUE"""),335)</f>
        <v>335</v>
      </c>
      <c r="B136" t="str">
        <f ca="1">IFERROR(__xludf.DUMMYFUNCTION("""COMPUTED_VALUE"""),"Кнауф")</f>
        <v>Кнауф</v>
      </c>
      <c r="C136" t="str">
        <f ca="1">IFERROR(__xludf.DUMMYFUNCTION("""COMPUTED_VALUE"""),"ООО ""Укррос-Транс""")</f>
        <v>ООО "Укррос-Транс"</v>
      </c>
      <c r="D136">
        <f ca="1">IFERROR(__xludf.DUMMYFUNCTION("""COMPUTED_VALUE"""),52576816)</f>
        <v>52576816</v>
      </c>
      <c r="E136" t="str">
        <f ca="1">IFERROR(__xludf.DUMMYFUNCTION("""COMPUTED_VALUE"""),"20 КРЫТЫЕ")</f>
        <v>20 КРЫТЫЕ</v>
      </c>
      <c r="F136">
        <f ca="1">IFERROR(__xludf.DUMMYFUNCTION("""COMPUTED_VALUE"""),42103)</f>
        <v>42103</v>
      </c>
      <c r="G136" t="str">
        <f ca="1">IFERROR(__xludf.DUMMYFUNCTION("""COMPUTED_VALUE"""),"ВАГОНЫ ЖД СВ")</f>
        <v>ВАГОНЫ ЖД СВ</v>
      </c>
      <c r="H136">
        <f ca="1">IFERROR(__xludf.DUMMYFUNCTION("""COMPUTED_VALUE"""),0)</f>
        <v>0</v>
      </c>
      <c r="I136">
        <f ca="1">IFERROR(__xludf.DUMMYFUNCTION("""COMPUTED_VALUE"""),4149)</f>
        <v>4149</v>
      </c>
      <c r="J136" t="str">
        <f ca="1">IFERROR(__xludf.DUMMYFUNCTION("""COMPUTED_VALUE"""),"3488 (42830-099-44870) ГРЕБЕНКА - ПОЛТАВА-ЮЖН")</f>
        <v>3488 (42830-099-44870) ГРЕБЕНКА - ПОЛТАВА-ЮЖН</v>
      </c>
      <c r="K136">
        <f ca="1">IFERROR(__xludf.DUMMYFUNCTION("""COMPUTED_VALUE"""),44850)</f>
        <v>44850</v>
      </c>
      <c r="L136" t="str">
        <f ca="1">IFERROR(__xludf.DUMMYFUNCTION("""COMPUTED_VALUE"""),"ПОЛТАВА-КИЕВ")</f>
        <v>ПОЛТАВА-КИЕВ</v>
      </c>
      <c r="M136" t="str">
        <f ca="1">IFERROR(__xludf.DUMMYFUNCTION("""COMPUTED_VALUE"""),"12.08.21 05-43")</f>
        <v>12.08.21 05-43</v>
      </c>
      <c r="N136" t="str">
        <f ca="1">IFERROR(__xludf.DUMMYFUNCTION("""COMPUTED_VALUE"""),"01 ПРИБ")</f>
        <v>01 ПРИБ</v>
      </c>
      <c r="O136">
        <f ca="1">IFERROR(__xludf.DUMMYFUNCTION("""COMPUTED_VALUE"""),49620)</f>
        <v>49620</v>
      </c>
      <c r="P136" t="str">
        <f ca="1">IFERROR(__xludf.DUMMYFUNCTION("""COMPUTED_VALUE"""),"ДЕКОНСКАЯ")</f>
        <v>ДЕКОНСКАЯ</v>
      </c>
      <c r="Q136">
        <f ca="1">IFERROR(__xludf.DUMMYFUNCTION("""COMPUTED_VALUE"""),32040)</f>
        <v>32040</v>
      </c>
      <c r="R136" t="str">
        <f ca="1">IFERROR(__xludf.DUMMYFUNCTION("""COMPUTED_VALUE"""),"ГРУШКИ")</f>
        <v>ГРУШКИ</v>
      </c>
      <c r="S136" t="str">
        <f ca="1">IFERROR(__xludf.DUMMYFUNCTION("""COMPUTED_VALUE"""),"06.08.21 08-00")</f>
        <v>06.08.21 08-00</v>
      </c>
      <c r="T136">
        <f ca="1">IFERROR(__xludf.DUMMYFUNCTION("""COMPUTED_VALUE"""),3314)</f>
        <v>3314</v>
      </c>
      <c r="U136" t="str">
        <f ca="1">IFERROR(__xludf.DUMMYFUNCTION("""COMPUTED_VALUE"""),"18.03.2022 ДР")</f>
        <v>18.03.2022 ДР</v>
      </c>
      <c r="Z136" t="str">
        <f ca="1">IFERROR(__xludf.DUMMYFUNCTION("""COMPUTED_VALUE"""),"ООО ""Укррос-Транс""")</f>
        <v>ООО "Укррос-Транс"</v>
      </c>
      <c r="AA136" t="str">
        <f ca="1">IFERROR(__xludf.DUMMYFUNCTION("""COMPUTED_VALUE"""),"11-270")</f>
        <v>11-270</v>
      </c>
      <c r="AB136" t="str">
        <f ca="1">IFERROR(__xludf.DUMMYFUNCTION("""COMPUTED_VALUE"""),"43 ЮЖН")</f>
        <v>43 ЮЖН</v>
      </c>
      <c r="AC136" t="str">
        <f ca="1">IFERROR(__xludf.DUMMYFUNCTION("""COMPUTED_VALUE"""),"44020 ОСНОВА")</f>
        <v>44020 ОСНОВА</v>
      </c>
      <c r="AD136" t="str">
        <f ca="1">IFERROR(__xludf.DUMMYFUNCTION("""COMPUTED_VALUE"""),"28.03.21 11-45")</f>
        <v>28.03.21 11-45</v>
      </c>
      <c r="AE136" t="str">
        <f ca="1">IFERROR(__xludf.DUMMYFUNCTION("""COMPUTED_VALUE"""),"537 НEИCПPAВНOCТЬ ЗAПOPA ДВEPИ")</f>
        <v>537 НEИCПPAВНOCТЬ ЗAПOPA ДВEPИ</v>
      </c>
      <c r="AF136" t="str">
        <f ca="1">IFERROR(__xludf.DUMMYFUNCTION("""COMPUTED_VALUE"""),"43 ЮЖН")</f>
        <v>43 ЮЖН</v>
      </c>
      <c r="AG136" t="str">
        <f ca="1">IFERROR(__xludf.DUMMYFUNCTION("""COMPUTED_VALUE"""),"44020 ОСНОВА")</f>
        <v>44020 ОСНОВА</v>
      </c>
      <c r="AH136" t="str">
        <f ca="1">IFERROR(__xludf.DUMMYFUNCTION("""COMPUTED_VALUE"""),"30.03.21 17-10")</f>
        <v>30.03.21 17-10</v>
      </c>
      <c r="AI136" s="21">
        <f ca="1">IFERROR(__xludf.DUMMYFUNCTION("""COMPUTED_VALUE"""),44420.357662037)</f>
        <v>44420.357662037</v>
      </c>
    </row>
    <row r="137" spans="1:35" ht="13" x14ac:dyDescent="0.15">
      <c r="A137">
        <f ca="1">IFERROR(__xludf.DUMMYFUNCTION("""COMPUTED_VALUE"""),353)</f>
        <v>353</v>
      </c>
      <c r="B137" t="str">
        <f ca="1">IFERROR(__xludf.DUMMYFUNCTION("""COMPUTED_VALUE"""),"Кнауф")</f>
        <v>Кнауф</v>
      </c>
      <c r="C137" t="str">
        <f ca="1">IFERROR(__xludf.DUMMYFUNCTION("""COMPUTED_VALUE"""),"Керрилайн")</f>
        <v>Керрилайн</v>
      </c>
      <c r="D137">
        <f ca="1">IFERROR(__xludf.DUMMYFUNCTION("""COMPUTED_VALUE"""),52577384)</f>
        <v>52577384</v>
      </c>
      <c r="E137" t="str">
        <f ca="1">IFERROR(__xludf.DUMMYFUNCTION("""COMPUTED_VALUE"""),"20 КРЫТЫЕ")</f>
        <v>20 КРЫТЫЕ</v>
      </c>
      <c r="F137">
        <f ca="1">IFERROR(__xludf.DUMMYFUNCTION("""COMPUTED_VALUE"""),42103)</f>
        <v>42103</v>
      </c>
      <c r="G137" t="str">
        <f ca="1">IFERROR(__xludf.DUMMYFUNCTION("""COMPUTED_VALUE"""),"ВАГОНЫ ЖД СВ")</f>
        <v>ВАГОНЫ ЖД СВ</v>
      </c>
      <c r="H137">
        <f ca="1">IFERROR(__xludf.DUMMYFUNCTION("""COMPUTED_VALUE"""),0)</f>
        <v>0</v>
      </c>
      <c r="I137">
        <f ca="1">IFERROR(__xludf.DUMMYFUNCTION("""COMPUTED_VALUE"""),4149)</f>
        <v>4149</v>
      </c>
      <c r="J137" t="str">
        <f ca="1">IFERROR(__xludf.DUMMYFUNCTION("""COMPUTED_VALUE"""),"3802 (49640-069-49620)  - ДЕКОНСКАЯ")</f>
        <v>3802 (49640-069-49620)  - ДЕКОНСКАЯ</v>
      </c>
      <c r="K137">
        <f ca="1">IFERROR(__xludf.DUMMYFUNCTION("""COMPUTED_VALUE"""),49620)</f>
        <v>49620</v>
      </c>
      <c r="L137" t="str">
        <f ca="1">IFERROR(__xludf.DUMMYFUNCTION("""COMPUTED_VALUE"""),"ДЕКОНСКАЯ")</f>
        <v>ДЕКОНСКАЯ</v>
      </c>
      <c r="M137" t="str">
        <f ca="1">IFERROR(__xludf.DUMMYFUNCTION("""COMPUTED_VALUE"""),"11.08.21 11-00")</f>
        <v>11.08.21 11-00</v>
      </c>
      <c r="N137" t="str">
        <f ca="1">IFERROR(__xludf.DUMMYFUNCTION("""COMPUTED_VALUE"""),"98 ОТОТ")</f>
        <v>98 ОТОТ</v>
      </c>
      <c r="O137">
        <f ca="1">IFERROR(__xludf.DUMMYFUNCTION("""COMPUTED_VALUE"""),49620)</f>
        <v>49620</v>
      </c>
      <c r="P137" t="str">
        <f ca="1">IFERROR(__xludf.DUMMYFUNCTION("""COMPUTED_VALUE"""),"ДЕКОНСКАЯ")</f>
        <v>ДЕКОНСКАЯ</v>
      </c>
      <c r="Q137">
        <f ca="1">IFERROR(__xludf.DUMMYFUNCTION("""COMPUTED_VALUE"""),44050)</f>
        <v>44050</v>
      </c>
      <c r="R137" t="str">
        <f ca="1">IFERROR(__xludf.DUMMYFUNCTION("""COMPUTED_VALUE"""),"ХАРЬКОВ-БАЛ")</f>
        <v>ХАРЬКОВ-БАЛ</v>
      </c>
      <c r="S137" t="str">
        <f ca="1">IFERROR(__xludf.DUMMYFUNCTION("""COMPUTED_VALUE"""),"07.08.21 12-30")</f>
        <v>07.08.21 12-30</v>
      </c>
      <c r="T137">
        <f ca="1">IFERROR(__xludf.DUMMYFUNCTION("""COMPUTED_VALUE"""),1494)</f>
        <v>1494</v>
      </c>
      <c r="U137" t="str">
        <f ca="1">IFERROR(__xludf.DUMMYFUNCTION("""COMPUTED_VALUE"""),"06.04.2022 ДР")</f>
        <v>06.04.2022 ДР</v>
      </c>
      <c r="Z137" t="str">
        <f ca="1">IFERROR(__xludf.DUMMYFUNCTION("""COMPUTED_VALUE"""),"ООО «КЕРРИЛАЙН»")</f>
        <v>ООО «КЕРРИЛАЙН»</v>
      </c>
      <c r="AA137" t="str">
        <f ca="1">IFERROR(__xludf.DUMMYFUNCTION("""COMPUTED_VALUE"""),"11-270")</f>
        <v>11-270</v>
      </c>
      <c r="AB137" t="str">
        <f ca="1">IFERROR(__xludf.DUMMYFUNCTION("""COMPUTED_VALUE"""),"48 ДОН")</f>
        <v>48 ДОН</v>
      </c>
      <c r="AC137" t="str">
        <f ca="1">IFERROR(__xludf.DUMMYFUNCTION("""COMPUTED_VALUE"""),"49620 ДЕКОНСКАЯ")</f>
        <v>49620 ДЕКОНСКАЯ</v>
      </c>
      <c r="AD137" t="str">
        <f ca="1">IFERROR(__xludf.DUMMYFUNCTION("""COMPUTED_VALUE"""),"22.07.20 16-25")</f>
        <v>22.07.20 16-25</v>
      </c>
      <c r="AE137" t="str">
        <f ca="1">IFERROR(__xludf.DUMMYFUNCTION("""COMPUTED_VALUE"""),"563")</f>
        <v>563</v>
      </c>
      <c r="AF137" t="str">
        <f ca="1">IFERROR(__xludf.DUMMYFUNCTION("""COMPUTED_VALUE"""),"48 ДОН")</f>
        <v>48 ДОН</v>
      </c>
      <c r="AG137" t="str">
        <f ca="1">IFERROR(__xludf.DUMMYFUNCTION("""COMPUTED_VALUE"""),"49620 ДЕКОНСКАЯ")</f>
        <v>49620 ДЕКОНСКАЯ</v>
      </c>
      <c r="AH137" t="str">
        <f ca="1">IFERROR(__xludf.DUMMYFUNCTION("""COMPUTED_VALUE"""),"22.07.20 17-10")</f>
        <v>22.07.20 17-10</v>
      </c>
      <c r="AI137" s="21">
        <f ca="1">IFERROR(__xludf.DUMMYFUNCTION("""COMPUTED_VALUE"""),44420.357662037)</f>
        <v>44420.357662037</v>
      </c>
    </row>
    <row r="138" spans="1:35" ht="13" x14ac:dyDescent="0.15">
      <c r="A138">
        <f ca="1">IFERROR(__xludf.DUMMYFUNCTION("""COMPUTED_VALUE"""),354)</f>
        <v>354</v>
      </c>
      <c r="B138" t="str">
        <f ca="1">IFERROR(__xludf.DUMMYFUNCTION("""COMPUTED_VALUE"""),"Кнауф")</f>
        <v>Кнауф</v>
      </c>
      <c r="C138" t="str">
        <f ca="1">IFERROR(__xludf.DUMMYFUNCTION("""COMPUTED_VALUE"""),"Керрилайн РФ")</f>
        <v>Керрилайн РФ</v>
      </c>
      <c r="D138">
        <f ca="1">IFERROR(__xludf.DUMMYFUNCTION("""COMPUTED_VALUE"""),52530698)</f>
        <v>52530698</v>
      </c>
      <c r="E138" t="str">
        <f ca="1">IFERROR(__xludf.DUMMYFUNCTION("""COMPUTED_VALUE"""),"20 КРЫТЫЕ")</f>
        <v>20 КРЫТЫЕ</v>
      </c>
      <c r="F138">
        <f ca="1">IFERROR(__xludf.DUMMYFUNCTION("""COMPUTED_VALUE"""),28114)</f>
        <v>28114</v>
      </c>
      <c r="G138" t="str">
        <f ca="1">IFERROR(__xludf.DUMMYFUNCTION("""COMPUTED_VALUE"""),"ЦЕМЕНТ ПР")</f>
        <v>ЦЕМЕНТ ПР</v>
      </c>
      <c r="H138">
        <f ca="1">IFERROR(__xludf.DUMMYFUNCTION("""COMPUTED_VALUE"""),68)</f>
        <v>68</v>
      </c>
      <c r="I138">
        <f ca="1">IFERROR(__xludf.DUMMYFUNCTION("""COMPUTED_VALUE"""),1744)</f>
        <v>1744</v>
      </c>
      <c r="J138" t="str">
        <f ca="1">IFERROR(__xludf.DUMMYFUNCTION("""COMPUTED_VALUE"""),"2944 (37000-716-45000) ЛЬВОВ - НИЖНЕДН-УЗЕЛ")</f>
        <v>2944 (37000-716-45000) ЛЬВОВ - НИЖНЕДН-УЗЕЛ</v>
      </c>
      <c r="K138">
        <f ca="1">IFERROR(__xludf.DUMMYFUNCTION("""COMPUTED_VALUE"""),34001)</f>
        <v>34001</v>
      </c>
      <c r="L138" t="str">
        <f ca="1">IFERROR(__xludf.DUMMYFUNCTION("""COMPUTED_VALUE"""),"СУДИЛКОВО")</f>
        <v>СУДИЛКОВО</v>
      </c>
      <c r="M138" t="str">
        <f ca="1">IFERROR(__xludf.DUMMYFUNCTION("""COMPUTED_VALUE"""),"12.08.21 08-15")</f>
        <v>12.08.21 08-15</v>
      </c>
      <c r="N138" t="str">
        <f ca="1">IFERROR(__xludf.DUMMYFUNCTION("""COMPUTED_VALUE"""),"03 ПРОС")</f>
        <v>03 ПРОС</v>
      </c>
      <c r="O138">
        <f ca="1">IFERROR(__xludf.DUMMYFUNCTION("""COMPUTED_VALUE"""),49310)</f>
        <v>49310</v>
      </c>
      <c r="P138" t="str">
        <f ca="1">IFERROR(__xludf.DUMMYFUNCTION("""COMPUTED_VALUE"""),"ДОБРОПОЛЬЕ")</f>
        <v>ДОБРОПОЛЬЕ</v>
      </c>
      <c r="Q138">
        <f ca="1">IFERROR(__xludf.DUMMYFUNCTION("""COMPUTED_VALUE"""),38830)</f>
        <v>38830</v>
      </c>
      <c r="R138" t="str">
        <f ca="1">IFERROR(__xludf.DUMMYFUNCTION("""COMPUTED_VALUE"""),"ЯМНИЦА")</f>
        <v>ЯМНИЦА</v>
      </c>
      <c r="S138" t="str">
        <f ca="1">IFERROR(__xludf.DUMMYFUNCTION("""COMPUTED_VALUE"""),"06.08.21 09-45")</f>
        <v>06.08.21 09-45</v>
      </c>
      <c r="T138">
        <f ca="1">IFERROR(__xludf.DUMMYFUNCTION("""COMPUTED_VALUE"""),8199)</f>
        <v>8199</v>
      </c>
      <c r="U138" t="str">
        <f ca="1">IFERROR(__xludf.DUMMYFUNCTION("""COMPUTED_VALUE"""),"07.07.2024 ДР")</f>
        <v>07.07.2024 ДР</v>
      </c>
      <c r="Z138" t="str">
        <f ca="1">IFERROR(__xludf.DUMMYFUNCTION("""COMPUTED_VALUE"""),"ООО «КЕРРИЛАЙН»")</f>
        <v>ООО «КЕРРИЛАЙН»</v>
      </c>
      <c r="AA138" t="str">
        <f ca="1">IFERROR(__xludf.DUMMYFUNCTION("""COMPUTED_VALUE"""),"11-276")</f>
        <v>11-276</v>
      </c>
      <c r="AB138" t="str">
        <f ca="1">IFERROR(__xludf.DUMMYFUNCTION("""COMPUTED_VALUE"""),"45 ПРИДН")</f>
        <v>45 ПРИДН</v>
      </c>
      <c r="AC138" t="str">
        <f ca="1">IFERROR(__xludf.DUMMYFUNCTION("""COMPUTED_VALUE"""),"47600 МЕЛИТОПОЛЬ")</f>
        <v>47600 МЕЛИТОПОЛЬ</v>
      </c>
      <c r="AD138" t="str">
        <f ca="1">IFERROR(__xludf.DUMMYFUNCTION("""COMPUTED_VALUE"""),"03.06.21 10-50")</f>
        <v>03.06.21 10-50</v>
      </c>
      <c r="AE138" t="str">
        <f ca="1">IFERROR(__xludf.DUMMYFUNCTION("""COMPUTED_VALUE"""),"571 ИCТEК КAЛЕНДАРНЫЙ CPOК КAПИТAЛЬНОГО PEМOНТA")</f>
        <v>571 ИCТEК КAЛЕНДАРНЫЙ CPOК КAПИТAЛЬНОГО PEМOНТA</v>
      </c>
      <c r="AF138" t="str">
        <f ca="1">IFERROR(__xludf.DUMMYFUNCTION("""COMPUTED_VALUE"""),"45 ПРИДН")</f>
        <v>45 ПРИДН</v>
      </c>
      <c r="AG138" t="str">
        <f ca="1">IFERROR(__xludf.DUMMYFUNCTION("""COMPUTED_VALUE"""),"47600 МЕЛИТОПОЛЬ")</f>
        <v>47600 МЕЛИТОПОЛЬ</v>
      </c>
      <c r="AH138" t="str">
        <f ca="1">IFERROR(__xludf.DUMMYFUNCTION("""COMPUTED_VALUE"""),"07.07.21 14-10")</f>
        <v>07.07.21 14-10</v>
      </c>
      <c r="AI138" s="21">
        <f ca="1">IFERROR(__xludf.DUMMYFUNCTION("""COMPUTED_VALUE"""),44420.357662037)</f>
        <v>44420.357662037</v>
      </c>
    </row>
    <row r="139" spans="1:35" ht="13" x14ac:dyDescent="0.15">
      <c r="A139">
        <f ca="1">IFERROR(__xludf.DUMMYFUNCTION("""COMPUTED_VALUE"""),355)</f>
        <v>355</v>
      </c>
      <c r="B139" t="str">
        <f ca="1">IFERROR(__xludf.DUMMYFUNCTION("""COMPUTED_VALUE"""),"Промдримлайт")</f>
        <v>Промдримлайт</v>
      </c>
      <c r="C139" t="str">
        <f ca="1">IFERROR(__xludf.DUMMYFUNCTION("""COMPUTED_VALUE"""),"Керрилайн 64 РФ")</f>
        <v>Керрилайн 64 РФ</v>
      </c>
      <c r="D139">
        <f ca="1">IFERROR(__xludf.DUMMYFUNCTION("""COMPUTED_VALUE"""),52708435)</f>
        <v>52708435</v>
      </c>
      <c r="E139" t="str">
        <f ca="1">IFERROR(__xludf.DUMMYFUNCTION("""COMPUTED_VALUE"""),"20 КРЫТЫЕ")</f>
        <v>20 КРЫТЫЕ</v>
      </c>
      <c r="F139">
        <f ca="1">IFERROR(__xludf.DUMMYFUNCTION("""COMPUTED_VALUE"""),42119)</f>
        <v>42119</v>
      </c>
      <c r="G139" t="str">
        <f ca="1">IFERROR(__xludf.DUMMYFUNCTION("""COMPUTED_VALUE"""),"ВАГОНЫ ЖД РЕМОН")</f>
        <v>ВАГОНЫ ЖД РЕМОН</v>
      </c>
      <c r="H139">
        <f ca="1">IFERROR(__xludf.DUMMYFUNCTION("""COMPUTED_VALUE"""),0)</f>
        <v>0</v>
      </c>
      <c r="I139">
        <f ca="1">IFERROR(__xludf.DUMMYFUNCTION("""COMPUTED_VALUE"""),4714)</f>
        <v>4714</v>
      </c>
      <c r="J139" t="str">
        <f ca="1">IFERROR(__xludf.DUMMYFUNCTION("""COMPUTED_VALUE"""),"4705 (49000-347-49460) ЛИМАН - БАХМУТ")</f>
        <v>4705 (49000-347-49460) ЛИМАН - БАХМУТ</v>
      </c>
      <c r="K139">
        <f ca="1">IFERROR(__xludf.DUMMYFUNCTION("""COMPUTED_VALUE"""),49480)</f>
        <v>49480</v>
      </c>
      <c r="L139" t="str">
        <f ca="1">IFERROR(__xludf.DUMMYFUNCTION("""COMPUTED_VALUE"""),"СОЛЬ")</f>
        <v>СОЛЬ</v>
      </c>
      <c r="M139" t="str">
        <f ca="1">IFERROR(__xludf.DUMMYFUNCTION("""COMPUTED_VALUE"""),"29.06.21 01-50")</f>
        <v>29.06.21 01-50</v>
      </c>
      <c r="N139" t="str">
        <f ca="1">IFERROR(__xludf.DUMMYFUNCTION("""COMPUTED_VALUE"""),"98 ОТОТ")</f>
        <v>98 ОТОТ</v>
      </c>
      <c r="O139">
        <f ca="1">IFERROR(__xludf.DUMMYFUNCTION("""COMPUTED_VALUE"""),49480)</f>
        <v>49480</v>
      </c>
      <c r="P139" t="str">
        <f ca="1">IFERROR(__xludf.DUMMYFUNCTION("""COMPUTED_VALUE"""),"СОЛЬ")</f>
        <v>СОЛЬ</v>
      </c>
      <c r="Q139">
        <f ca="1">IFERROR(__xludf.DUMMYFUNCTION("""COMPUTED_VALUE"""),47600)</f>
        <v>47600</v>
      </c>
      <c r="R139" t="str">
        <f ca="1">IFERROR(__xludf.DUMMYFUNCTION("""COMPUTED_VALUE"""),"МЕЛИТОПОЛЬ")</f>
        <v>МЕЛИТОПОЛЬ</v>
      </c>
      <c r="S139" t="str">
        <f ca="1">IFERROR(__xludf.DUMMYFUNCTION("""COMPUTED_VALUE"""),"22.06.21 16-00")</f>
        <v>22.06.21 16-00</v>
      </c>
      <c r="T139">
        <f ca="1">IFERROR(__xludf.DUMMYFUNCTION("""COMPUTED_VALUE"""),9775)</f>
        <v>9775</v>
      </c>
      <c r="U139" t="str">
        <f ca="1">IFERROR(__xludf.DUMMYFUNCTION("""COMPUTED_VALUE"""),"20.03.2021 КР")</f>
        <v>20.03.2021 КР</v>
      </c>
      <c r="Z139" t="str">
        <f ca="1">IFERROR(__xludf.DUMMYFUNCTION("""COMPUTED_VALUE"""),"ООО «КЕРРИЛАЙН»")</f>
        <v>ООО «КЕРРИЛАЙН»</v>
      </c>
      <c r="AA139" t="str">
        <f ca="1">IFERROR(__xludf.DUMMYFUNCTION("""COMPUTED_VALUE"""),"11-274-01")</f>
        <v>11-274-01</v>
      </c>
      <c r="AB139" t="str">
        <f ca="1">IFERROR(__xludf.DUMMYFUNCTION("""COMPUTED_VALUE"""),"45 ПРИДН")</f>
        <v>45 ПРИДН</v>
      </c>
      <c r="AC139" t="str">
        <f ca="1">IFERROR(__xludf.DUMMYFUNCTION("""COMPUTED_VALUE"""),"47600 МЕЛИТОПОЛЬ")</f>
        <v>47600 МЕЛИТОПОЛЬ</v>
      </c>
      <c r="AD139" t="str">
        <f ca="1">IFERROR(__xludf.DUMMYFUNCTION("""COMPUTED_VALUE"""),"06.03.21 00-48")</f>
        <v>06.03.21 00-48</v>
      </c>
      <c r="AE139" t="str">
        <f ca="1">IFERROR(__xludf.DUMMYFUNCTION("""COMPUTED_VALUE"""),"579 ИCТEК CPOК CЛУЖБЫ")</f>
        <v>579 ИCТEК CPOК CЛУЖБЫ</v>
      </c>
      <c r="AI139" s="21">
        <f ca="1">IFERROR(__xludf.DUMMYFUNCTION("""COMPUTED_VALUE"""),44420.357662037)</f>
        <v>44420.357662037</v>
      </c>
    </row>
    <row r="140" spans="1:35" ht="13" x14ac:dyDescent="0.15">
      <c r="A140">
        <f ca="1">IFERROR(__xludf.DUMMYFUNCTION("""COMPUTED_VALUE"""),356)</f>
        <v>356</v>
      </c>
      <c r="B140" t="str">
        <f ca="1">IFERROR(__xludf.DUMMYFUNCTION("""COMPUTED_VALUE"""),"Промдримлайт")</f>
        <v>Промдримлайт</v>
      </c>
      <c r="C140" t="str">
        <f ca="1">IFERROR(__xludf.DUMMYFUNCTION("""COMPUTED_VALUE"""),"Керрилайн 64")</f>
        <v>Керрилайн 64</v>
      </c>
      <c r="D140">
        <f ca="1">IFERROR(__xludf.DUMMYFUNCTION("""COMPUTED_VALUE"""),52708237)</f>
        <v>52708237</v>
      </c>
      <c r="E140" t="str">
        <f ca="1">IFERROR(__xludf.DUMMYFUNCTION("""COMPUTED_VALUE"""),"20 КРЫТЫЕ")</f>
        <v>20 КРЫТЫЕ</v>
      </c>
      <c r="F140">
        <f ca="1">IFERROR(__xludf.DUMMYFUNCTION("""COMPUTED_VALUE"""),42103)</f>
        <v>42103</v>
      </c>
      <c r="G140" t="str">
        <f ca="1">IFERROR(__xludf.DUMMYFUNCTION("""COMPUTED_VALUE"""),"ВАГОНЫ ЖД СВ")</f>
        <v>ВАГОНЫ ЖД СВ</v>
      </c>
      <c r="H140">
        <f ca="1">IFERROR(__xludf.DUMMYFUNCTION("""COMPUTED_VALUE"""),0)</f>
        <v>0</v>
      </c>
      <c r="I140">
        <f ca="1">IFERROR(__xludf.DUMMYFUNCTION("""COMPUTED_VALUE"""),4714)</f>
        <v>4714</v>
      </c>
      <c r="J140" t="str">
        <f ca="1">IFERROR(__xludf.DUMMYFUNCTION("""COMPUTED_VALUE"""),"3501 (49000-672-49460) ЛИМАН - БАХМУТ")</f>
        <v>3501 (49000-672-49460) ЛИМАН - БАХМУТ</v>
      </c>
      <c r="K140">
        <f ca="1">IFERROR(__xludf.DUMMYFUNCTION("""COMPUTED_VALUE"""),49480)</f>
        <v>49480</v>
      </c>
      <c r="L140" t="str">
        <f ca="1">IFERROR(__xludf.DUMMYFUNCTION("""COMPUTED_VALUE"""),"СОЛЬ")</f>
        <v>СОЛЬ</v>
      </c>
      <c r="M140" t="str">
        <f ca="1">IFERROR(__xludf.DUMMYFUNCTION("""COMPUTED_VALUE"""),"10.08.21 11-25")</f>
        <v>10.08.21 11-25</v>
      </c>
      <c r="N140" t="str">
        <f ca="1">IFERROR(__xludf.DUMMYFUNCTION("""COMPUTED_VALUE"""),"98 ОТОТ")</f>
        <v>98 ОТОТ</v>
      </c>
      <c r="O140">
        <f ca="1">IFERROR(__xludf.DUMMYFUNCTION("""COMPUTED_VALUE"""),49480)</f>
        <v>49480</v>
      </c>
      <c r="P140" t="str">
        <f ca="1">IFERROR(__xludf.DUMMYFUNCTION("""COMPUTED_VALUE"""),"СОЛЬ")</f>
        <v>СОЛЬ</v>
      </c>
      <c r="Q140">
        <f ca="1">IFERROR(__xludf.DUMMYFUNCTION("""COMPUTED_VALUE"""),44540)</f>
        <v>44540</v>
      </c>
      <c r="R140" t="str">
        <f ca="1">IFERROR(__xludf.DUMMYFUNCTION("""COMPUTED_VALUE"""),"СУМЫ-ТОВ")</f>
        <v>СУМЫ-ТОВ</v>
      </c>
      <c r="S140" t="str">
        <f ca="1">IFERROR(__xludf.DUMMYFUNCTION("""COMPUTED_VALUE"""),"04.08.21 13-10")</f>
        <v>04.08.21 13-10</v>
      </c>
      <c r="T140">
        <f ca="1">IFERROR(__xludf.DUMMYFUNCTION("""COMPUTED_VALUE"""),8135)</f>
        <v>8135</v>
      </c>
      <c r="U140" t="str">
        <f ca="1">IFERROR(__xludf.DUMMYFUNCTION("""COMPUTED_VALUE"""),"26.01.2022 ТР-1")</f>
        <v>26.01.2022 ТР-1</v>
      </c>
      <c r="Z140" t="str">
        <f ca="1">IFERROR(__xludf.DUMMYFUNCTION("""COMPUTED_VALUE"""),"ООО «КЕРРИЛАЙН»")</f>
        <v>ООО «КЕРРИЛАЙН»</v>
      </c>
      <c r="AA140" t="str">
        <f ca="1">IFERROR(__xludf.DUMMYFUNCTION("""COMPUTED_VALUE"""),"11-274-01")</f>
        <v>11-274-01</v>
      </c>
      <c r="AB140" t="str">
        <f ca="1">IFERROR(__xludf.DUMMYFUNCTION("""COMPUTED_VALUE"""),"40 ОД")</f>
        <v>40 ОД</v>
      </c>
      <c r="AC140" t="str">
        <f ca="1">IFERROR(__xludf.DUMMYFUNCTION("""COMPUTED_VALUE"""),"40200 ЧЕРНОМОРСК-П")</f>
        <v>40200 ЧЕРНОМОРСК-П</v>
      </c>
      <c r="AD140" t="str">
        <f ca="1">IFERROR(__xludf.DUMMYFUNCTION("""COMPUTED_VALUE"""),"08.10.20 08-00")</f>
        <v>08.10.20 08-00</v>
      </c>
      <c r="AE140" t="str">
        <f ca="1">IFERROR(__xludf.DUMMYFUNCTION("""COMPUTED_VALUE"""),"556 ОТСУТСТВИЕ БОЛТОВ КРЕПЛЕНИЯ КРЫШИ КРЫТЫХ ВАГОНОВ")</f>
        <v>556 ОТСУТСТВИЕ БОЛТОВ КРЕПЛЕНИЯ КРЫШИ КРЫТЫХ ВАГОНОВ</v>
      </c>
      <c r="AF140" t="str">
        <f ca="1">IFERROR(__xludf.DUMMYFUNCTION("""COMPUTED_VALUE"""),"40 ОД")</f>
        <v>40 ОД</v>
      </c>
      <c r="AG140" t="str">
        <f ca="1">IFERROR(__xludf.DUMMYFUNCTION("""COMPUTED_VALUE"""),"40200 ЧЕРНОМОРСК-П")</f>
        <v>40200 ЧЕРНОМОРСК-П</v>
      </c>
      <c r="AH140" t="str">
        <f ca="1">IFERROR(__xludf.DUMMYFUNCTION("""COMPUTED_VALUE"""),"13.10.20 08-00")</f>
        <v>13.10.20 08-00</v>
      </c>
      <c r="AI140" s="21">
        <f ca="1">IFERROR(__xludf.DUMMYFUNCTION("""COMPUTED_VALUE"""),44420.357662037)</f>
        <v>44420.357662037</v>
      </c>
    </row>
    <row r="141" spans="1:35" ht="13" x14ac:dyDescent="0.15">
      <c r="A141">
        <f ca="1">IFERROR(__xludf.DUMMYFUNCTION("""COMPUTED_VALUE"""),357)</f>
        <v>357</v>
      </c>
      <c r="B141" t="str">
        <f ca="1">IFERROR(__xludf.DUMMYFUNCTION("""COMPUTED_VALUE"""),"Альта Виста")</f>
        <v>Альта Виста</v>
      </c>
      <c r="C141" t="str">
        <f ca="1">IFERROR(__xludf.DUMMYFUNCTION("""COMPUTED_VALUE"""),"Керрилайн")</f>
        <v>Керрилайн</v>
      </c>
      <c r="D141">
        <f ca="1">IFERROR(__xludf.DUMMYFUNCTION("""COMPUTED_VALUE"""),52508843)</f>
        <v>52508843</v>
      </c>
      <c r="E141" t="str">
        <f ca="1">IFERROR(__xludf.DUMMYFUNCTION("""COMPUTED_VALUE"""),"20 КРЫТЫЕ")</f>
        <v>20 КРЫТЫЕ</v>
      </c>
      <c r="F141">
        <f ca="1">IFERROR(__xludf.DUMMYFUNCTION("""COMPUTED_VALUE"""),42103)</f>
        <v>42103</v>
      </c>
      <c r="G141" t="str">
        <f ca="1">IFERROR(__xludf.DUMMYFUNCTION("""COMPUTED_VALUE"""),"ВАГОНЫ ЖД СВ")</f>
        <v>ВАГОНЫ ЖД СВ</v>
      </c>
      <c r="H141">
        <f ca="1">IFERROR(__xludf.DUMMYFUNCTION("""COMPUTED_VALUE"""),0)</f>
        <v>0</v>
      </c>
      <c r="I141">
        <f ca="1">IFERROR(__xludf.DUMMYFUNCTION("""COMPUTED_VALUE"""),4714)</f>
        <v>4714</v>
      </c>
      <c r="J141" t="str">
        <f ca="1">IFERROR(__xludf.DUMMYFUNCTION("""COMPUTED_VALUE"""),"3503 (49000-739-49480) ЛИМАН - СОЛЬ")</f>
        <v>3503 (49000-739-49480) ЛИМАН - СОЛЬ</v>
      </c>
      <c r="K141">
        <f ca="1">IFERROR(__xludf.DUMMYFUNCTION("""COMPUTED_VALUE"""),49480)</f>
        <v>49480</v>
      </c>
      <c r="L141" t="str">
        <f ca="1">IFERROR(__xludf.DUMMYFUNCTION("""COMPUTED_VALUE"""),"СОЛЬ")</f>
        <v>СОЛЬ</v>
      </c>
      <c r="M141" t="str">
        <f ca="1">IFERROR(__xludf.DUMMYFUNCTION("""COMPUTED_VALUE"""),"11.08.21 16-15")</f>
        <v>11.08.21 16-15</v>
      </c>
      <c r="N141" t="str">
        <f ca="1">IFERROR(__xludf.DUMMYFUNCTION("""COMPUTED_VALUE"""),"98 ОТОТ")</f>
        <v>98 ОТОТ</v>
      </c>
      <c r="O141">
        <f ca="1">IFERROR(__xludf.DUMMYFUNCTION("""COMPUTED_VALUE"""),49480)</f>
        <v>49480</v>
      </c>
      <c r="P141" t="str">
        <f ca="1">IFERROR(__xludf.DUMMYFUNCTION("""COMPUTED_VALUE"""),"СОЛЬ")</f>
        <v>СОЛЬ</v>
      </c>
      <c r="Q141">
        <f ca="1">IFERROR(__xludf.DUMMYFUNCTION("""COMPUTED_VALUE"""),47600)</f>
        <v>47600</v>
      </c>
      <c r="R141" t="str">
        <f ca="1">IFERROR(__xludf.DUMMYFUNCTION("""COMPUTED_VALUE"""),"МЕЛИТОПОЛЬ")</f>
        <v>МЕЛИТОПОЛЬ</v>
      </c>
      <c r="S141" t="str">
        <f ca="1">IFERROR(__xludf.DUMMYFUNCTION("""COMPUTED_VALUE"""),"07.08.21 14-00")</f>
        <v>07.08.21 14-00</v>
      </c>
      <c r="T141">
        <f ca="1">IFERROR(__xludf.DUMMYFUNCTION("""COMPUTED_VALUE"""),4325)</f>
        <v>4325</v>
      </c>
      <c r="U141" t="str">
        <f ca="1">IFERROR(__xludf.DUMMYFUNCTION("""COMPUTED_VALUE"""),"08.05.2022 ДР")</f>
        <v>08.05.2022 ДР</v>
      </c>
      <c r="Z141" t="str">
        <f ca="1">IFERROR(__xludf.DUMMYFUNCTION("""COMPUTED_VALUE"""),"ООО «КЕРРИЛАЙН»")</f>
        <v>ООО «КЕРРИЛАЙН»</v>
      </c>
      <c r="AA141" t="str">
        <f ca="1">IFERROR(__xludf.DUMMYFUNCTION("""COMPUTED_VALUE"""),"11-066-05")</f>
        <v>11-066-05</v>
      </c>
      <c r="AB141" t="str">
        <f ca="1">IFERROR(__xludf.DUMMYFUNCTION("""COMPUTED_VALUE"""),"48 ДОН")</f>
        <v>48 ДОН</v>
      </c>
      <c r="AC141" t="str">
        <f ca="1">IFERROR(__xludf.DUMMYFUNCTION("""COMPUTED_VALUE"""),"49480 СОЛЬ")</f>
        <v>49480 СОЛЬ</v>
      </c>
      <c r="AD141" t="str">
        <f ca="1">IFERROR(__xludf.DUMMYFUNCTION("""COMPUTED_VALUE"""),"04.07.21 09-30")</f>
        <v>04.07.21 09-30</v>
      </c>
      <c r="AE141" t="str">
        <f ca="1">IFERROR(__xludf.DUMMYFUNCTION("""COMPUTED_VALUE"""),"537 НEИCПPAВНOCТЬ ЗAПOPA ДВEPИ")</f>
        <v>537 НEИCПPAВНOCТЬ ЗAПOPA ДВEPИ</v>
      </c>
      <c r="AF141" t="str">
        <f ca="1">IFERROR(__xludf.DUMMYFUNCTION("""COMPUTED_VALUE"""),"48 ДОН")</f>
        <v>48 ДОН</v>
      </c>
      <c r="AG141" t="str">
        <f ca="1">IFERROR(__xludf.DUMMYFUNCTION("""COMPUTED_VALUE"""),"49480 СОЛЬ")</f>
        <v>49480 СОЛЬ</v>
      </c>
      <c r="AH141" t="str">
        <f ca="1">IFERROR(__xludf.DUMMYFUNCTION("""COMPUTED_VALUE"""),"06.07.21 12-30")</f>
        <v>06.07.21 12-30</v>
      </c>
      <c r="AI141" s="21">
        <f ca="1">IFERROR(__xludf.DUMMYFUNCTION("""COMPUTED_VALUE"""),44420.357662037)</f>
        <v>44420.357662037</v>
      </c>
    </row>
    <row r="142" spans="1:35" ht="13" x14ac:dyDescent="0.15">
      <c r="A142">
        <f ca="1">IFERROR(__xludf.DUMMYFUNCTION("""COMPUTED_VALUE"""),358)</f>
        <v>358</v>
      </c>
      <c r="B142" t="str">
        <f ca="1">IFERROR(__xludf.DUMMYFUNCTION("""COMPUTED_VALUE"""),"Промдримлайт")</f>
        <v>Промдримлайт</v>
      </c>
      <c r="C142" t="str">
        <f ca="1">IFERROR(__xludf.DUMMYFUNCTION("""COMPUTED_VALUE"""),"Керрилайн 59")</f>
        <v>Керрилайн 59</v>
      </c>
      <c r="D142">
        <f ca="1">IFERROR(__xludf.DUMMYFUNCTION("""COMPUTED_VALUE"""),52702008)</f>
        <v>52702008</v>
      </c>
      <c r="E142" t="str">
        <f ca="1">IFERROR(__xludf.DUMMYFUNCTION("""COMPUTED_VALUE"""),"20 КРЫТЫЕ")</f>
        <v>20 КРЫТЫЕ</v>
      </c>
      <c r="F142">
        <f ca="1">IFERROR(__xludf.DUMMYFUNCTION("""COMPUTED_VALUE"""),42119)</f>
        <v>42119</v>
      </c>
      <c r="G142" t="str">
        <f ca="1">IFERROR(__xludf.DUMMYFUNCTION("""COMPUTED_VALUE"""),"ВАГОНЫ ЖД РЕМОН")</f>
        <v>ВАГОНЫ ЖД РЕМОН</v>
      </c>
      <c r="H142">
        <f ca="1">IFERROR(__xludf.DUMMYFUNCTION("""COMPUTED_VALUE"""),0)</f>
        <v>0</v>
      </c>
      <c r="I142">
        <f ca="1">IFERROR(__xludf.DUMMYFUNCTION("""COMPUTED_VALUE"""),9785)</f>
        <v>9785</v>
      </c>
      <c r="J142" t="str">
        <f ca="1">IFERROR(__xludf.DUMMYFUNCTION("""COMPUTED_VALUE"""),"5555 (49000-406-00080) ЛИМАН -")</f>
        <v>5555 (49000-406-00080) ЛИМАН -</v>
      </c>
      <c r="K142">
        <f ca="1">IFERROR(__xludf.DUMMYFUNCTION("""COMPUTED_VALUE"""),49200)</f>
        <v>49200</v>
      </c>
      <c r="L142" t="str">
        <f ca="1">IFERROR(__xludf.DUMMYFUNCTION("""COMPUTED_VALUE"""),"СЛАВЯНСК")</f>
        <v>СЛАВЯНСК</v>
      </c>
      <c r="M142" t="str">
        <f ca="1">IFERROR(__xludf.DUMMYFUNCTION("""COMPUTED_VALUE"""),"25.07.21 16-15")</f>
        <v>25.07.21 16-15</v>
      </c>
      <c r="N142" t="str">
        <f ca="1">IFERROR(__xludf.DUMMYFUNCTION("""COMPUTED_VALUE"""),"63 ВУ36")</f>
        <v>63 ВУ36</v>
      </c>
      <c r="O142">
        <f ca="1">IFERROR(__xludf.DUMMYFUNCTION("""COMPUTED_VALUE"""),49200)</f>
        <v>49200</v>
      </c>
      <c r="P142" t="str">
        <f ca="1">IFERROR(__xludf.DUMMYFUNCTION("""COMPUTED_VALUE"""),"СЛАВЯНСК")</f>
        <v>СЛАВЯНСК</v>
      </c>
      <c r="Q142">
        <f ca="1">IFERROR(__xludf.DUMMYFUNCTION("""COMPUTED_VALUE"""),49480)</f>
        <v>49480</v>
      </c>
      <c r="R142" t="str">
        <f ca="1">IFERROR(__xludf.DUMMYFUNCTION("""COMPUTED_VALUE"""),"СОЛЬ")</f>
        <v>СОЛЬ</v>
      </c>
      <c r="S142" t="str">
        <f ca="1">IFERROR(__xludf.DUMMYFUNCTION("""COMPUTED_VALUE"""),"16.07.21 16-15")</f>
        <v>16.07.21 16-15</v>
      </c>
      <c r="T142">
        <f ca="1">IFERROR(__xludf.DUMMYFUNCTION("""COMPUTED_VALUE"""),4714)</f>
        <v>4714</v>
      </c>
      <c r="U142" t="str">
        <f ca="1">IFERROR(__xludf.DUMMYFUNCTION("""COMPUTED_VALUE"""),"16.08.2023 ТР-1")</f>
        <v>16.08.2023 ТР-1</v>
      </c>
      <c r="Z142" t="str">
        <f ca="1">IFERROR(__xludf.DUMMYFUNCTION("""COMPUTED_VALUE"""),"ООО «КЕРРИЛАЙН»")</f>
        <v>ООО «КЕРРИЛАЙН»</v>
      </c>
      <c r="AA142" t="str">
        <f ca="1">IFERROR(__xludf.DUMMYFUNCTION("""COMPUTED_VALUE"""),"11-274")</f>
        <v>11-274</v>
      </c>
      <c r="AB142" t="str">
        <f ca="1">IFERROR(__xludf.DUMMYFUNCTION("""COMPUTED_VALUE"""),"48 ДОН")</f>
        <v>48 ДОН</v>
      </c>
      <c r="AC142" t="str">
        <f ca="1">IFERROR(__xludf.DUMMYFUNCTION("""COMPUTED_VALUE"""),"49200 СЛАВЯНСК")</f>
        <v>49200 СЛАВЯНСК</v>
      </c>
      <c r="AD142" t="str">
        <f ca="1">IFERROR(__xludf.DUMMYFUNCTION("""COMPUTED_VALUE"""),"21.07.21 00-01")</f>
        <v>21.07.21 00-01</v>
      </c>
      <c r="AE142" t="str">
        <f ca="1">IFERROR(__xludf.DUMMYFUNCTION("""COMPUTED_VALUE"""),"570 ИCТEК КAЛЕНДАРНЫЙ CPOК ДEПOВCКОГО PEМOНТA")</f>
        <v>570 ИCТEК КAЛЕНДАРНЫЙ CPOК ДEПOВCКОГО PEМOНТA</v>
      </c>
      <c r="AF142" t="str">
        <f ca="1">IFERROR(__xludf.DUMMYFUNCTION("""COMPUTED_VALUE"""),"48 ДОН")</f>
        <v>48 ДОН</v>
      </c>
      <c r="AG142" t="str">
        <f ca="1">IFERROR(__xludf.DUMMYFUNCTION("""COMPUTED_VALUE"""),"49200 СЛАВЯНСК")</f>
        <v>49200 СЛАВЯНСК</v>
      </c>
      <c r="AH142" t="str">
        <f ca="1">IFERROR(__xludf.DUMMYFUNCTION("""COMPUTED_VALUE"""),"25.07.21 16-00")</f>
        <v>25.07.21 16-00</v>
      </c>
      <c r="AI142" s="21">
        <f ca="1">IFERROR(__xludf.DUMMYFUNCTION("""COMPUTED_VALUE"""),44420.357662037)</f>
        <v>44420.357662037</v>
      </c>
    </row>
    <row r="143" spans="1:35" ht="13" x14ac:dyDescent="0.15">
      <c r="A143">
        <f ca="1">IFERROR(__xludf.DUMMYFUNCTION("""COMPUTED_VALUE"""),359)</f>
        <v>359</v>
      </c>
      <c r="B143" t="str">
        <f ca="1">IFERROR(__xludf.DUMMYFUNCTION("""COMPUTED_VALUE"""),"Промдримлайт")</f>
        <v>Промдримлайт</v>
      </c>
      <c r="C143" t="str">
        <f ca="1">IFERROR(__xludf.DUMMYFUNCTION("""COMPUTED_VALUE"""),"Керрилайн 59 РФ")</f>
        <v>Керрилайн 59 РФ</v>
      </c>
      <c r="D143">
        <f ca="1">IFERROR(__xludf.DUMMYFUNCTION("""COMPUTED_VALUE"""),52701885)</f>
        <v>52701885</v>
      </c>
      <c r="E143" t="str">
        <f ca="1">IFERROR(__xludf.DUMMYFUNCTION("""COMPUTED_VALUE"""),"20 КРЫТЫЕ")</f>
        <v>20 КРЫТЫЕ</v>
      </c>
      <c r="F143">
        <f ca="1">IFERROR(__xludf.DUMMYFUNCTION("""COMPUTED_VALUE"""),42119)</f>
        <v>42119</v>
      </c>
      <c r="G143" t="str">
        <f ca="1">IFERROR(__xludf.DUMMYFUNCTION("""COMPUTED_VALUE"""),"ВАГОНЫ ЖД РЕМОН")</f>
        <v>ВАГОНЫ ЖД РЕМОН</v>
      </c>
      <c r="H143">
        <f ca="1">IFERROR(__xludf.DUMMYFUNCTION("""COMPUTED_VALUE"""),0)</f>
        <v>0</v>
      </c>
      <c r="I143">
        <f ca="1">IFERROR(__xludf.DUMMYFUNCTION("""COMPUTED_VALUE"""),9785)</f>
        <v>9785</v>
      </c>
      <c r="J143" t="str">
        <f ca="1">IFERROR(__xludf.DUMMYFUNCTION("""COMPUTED_VALUE"""),"3529 (49000-093-49190) ЛИМАН - ШПИЧКИНО")</f>
        <v>3529 (49000-093-49190) ЛИМАН - ШПИЧКИНО</v>
      </c>
      <c r="K143">
        <f ca="1">IFERROR(__xludf.DUMMYFUNCTION("""COMPUTED_VALUE"""),49200)</f>
        <v>49200</v>
      </c>
      <c r="L143" t="str">
        <f ca="1">IFERROR(__xludf.DUMMYFUNCTION("""COMPUTED_VALUE"""),"СЛАВЯНСК")</f>
        <v>СЛАВЯНСК</v>
      </c>
      <c r="M143" t="str">
        <f ca="1">IFERROR(__xludf.DUMMYFUNCTION("""COMPUTED_VALUE"""),"29.07.21 04-56")</f>
        <v>29.07.21 04-56</v>
      </c>
      <c r="N143" t="str">
        <f ca="1">IFERROR(__xludf.DUMMYFUNCTION("""COMPUTED_VALUE"""),"98 ОТОТ")</f>
        <v>98 ОТОТ</v>
      </c>
      <c r="O143">
        <f ca="1">IFERROR(__xludf.DUMMYFUNCTION("""COMPUTED_VALUE"""),49200)</f>
        <v>49200</v>
      </c>
      <c r="P143" t="str">
        <f ca="1">IFERROR(__xludf.DUMMYFUNCTION("""COMPUTED_VALUE"""),"СЛАВЯНСК")</f>
        <v>СЛАВЯНСК</v>
      </c>
      <c r="Q143">
        <f ca="1">IFERROR(__xludf.DUMMYFUNCTION("""COMPUTED_VALUE"""),33000)</f>
        <v>33000</v>
      </c>
      <c r="R143" t="str">
        <f ca="1">IFERROR(__xludf.DUMMYFUNCTION("""COMPUTED_VALUE"""),"ЖМЕРИНКА")</f>
        <v>ЖМЕРИНКА</v>
      </c>
      <c r="S143" t="str">
        <f ca="1">IFERROR(__xludf.DUMMYFUNCTION("""COMPUTED_VALUE"""),"24.07.21 06-50")</f>
        <v>24.07.21 06-50</v>
      </c>
      <c r="T143">
        <f ca="1">IFERROR(__xludf.DUMMYFUNCTION("""COMPUTED_VALUE"""),1426)</f>
        <v>1426</v>
      </c>
      <c r="U143" t="str">
        <f ca="1">IFERROR(__xludf.DUMMYFUNCTION("""COMPUTED_VALUE"""),"08.12.2020 КР")</f>
        <v>08.12.2020 КР</v>
      </c>
      <c r="Z143" t="str">
        <f ca="1">IFERROR(__xludf.DUMMYFUNCTION("""COMPUTED_VALUE"""),"ООО «КЕРРИЛАЙН»")</f>
        <v>ООО «КЕРРИЛАЙН»</v>
      </c>
      <c r="AA143" t="str">
        <f ca="1">IFERROR(__xludf.DUMMYFUNCTION("""COMPUTED_VALUE"""),"11-274")</f>
        <v>11-274</v>
      </c>
      <c r="AB143" t="str">
        <f ca="1">IFERROR(__xludf.DUMMYFUNCTION("""COMPUTED_VALUE"""),"48 ДОН")</f>
        <v>48 ДОН</v>
      </c>
      <c r="AC143" t="str">
        <f ca="1">IFERROR(__xludf.DUMMYFUNCTION("""COMPUTED_VALUE"""),"49200 СЛАВЯНСК")</f>
        <v>49200 СЛАВЯНСК</v>
      </c>
      <c r="AD143" t="str">
        <f ca="1">IFERROR(__xludf.DUMMYFUNCTION("""COMPUTED_VALUE"""),"28.07.21 17-20")</f>
        <v>28.07.21 17-20</v>
      </c>
      <c r="AE143" t="str">
        <f ca="1">IFERROR(__xludf.DUMMYFUNCTION("""COMPUTED_VALUE"""),"570 ИCТEК КAЛЕНДАРНЫЙ CPOК ДEПOВCКОГО PEМOНТA")</f>
        <v>570 ИCТEК КAЛЕНДАРНЫЙ CPOК ДEПOВCКОГО PEМOНТA</v>
      </c>
      <c r="AI143" s="21">
        <f ca="1">IFERROR(__xludf.DUMMYFUNCTION("""COMPUTED_VALUE"""),44420.357662037)</f>
        <v>44420.357662037</v>
      </c>
    </row>
    <row r="144" spans="1:35" ht="13" x14ac:dyDescent="0.15">
      <c r="A144">
        <f ca="1">IFERROR(__xludf.DUMMYFUNCTION("""COMPUTED_VALUE"""),360)</f>
        <v>360</v>
      </c>
      <c r="B144" t="str">
        <f ca="1">IFERROR(__xludf.DUMMYFUNCTION("""COMPUTED_VALUE"""),"Промдримлайт")</f>
        <v>Промдримлайт</v>
      </c>
      <c r="C144" t="str">
        <f ca="1">IFERROR(__xludf.DUMMYFUNCTION("""COMPUTED_VALUE"""),"Керрилайн 59 РФ")</f>
        <v>Керрилайн 59 РФ</v>
      </c>
      <c r="D144">
        <f ca="1">IFERROR(__xludf.DUMMYFUNCTION("""COMPUTED_VALUE"""),52702016)</f>
        <v>52702016</v>
      </c>
      <c r="E144" t="str">
        <f ca="1">IFERROR(__xludf.DUMMYFUNCTION("""COMPUTED_VALUE"""),"20 КРЫТЫЕ")</f>
        <v>20 КРЫТЫЕ</v>
      </c>
      <c r="F144">
        <f ca="1">IFERROR(__xludf.DUMMYFUNCTION("""COMPUTED_VALUE"""),42119)</f>
        <v>42119</v>
      </c>
      <c r="G144" t="str">
        <f ca="1">IFERROR(__xludf.DUMMYFUNCTION("""COMPUTED_VALUE"""),"ВАГОНЫ ЖД РЕМОН")</f>
        <v>ВАГОНЫ ЖД РЕМОН</v>
      </c>
      <c r="H144">
        <f ca="1">IFERROR(__xludf.DUMMYFUNCTION("""COMPUTED_VALUE"""),0)</f>
        <v>0</v>
      </c>
      <c r="I144">
        <f ca="1">IFERROR(__xludf.DUMMYFUNCTION("""COMPUTED_VALUE"""),9785)</f>
        <v>9785</v>
      </c>
      <c r="J144" t="str">
        <f ca="1">IFERROR(__xludf.DUMMYFUNCTION("""COMPUTED_VALUE"""),"3501 (49050-027-49200) ИМ.КОЖУШКО - СЛАВЯНСК")</f>
        <v>3501 (49050-027-49200) ИМ.КОЖУШКО - СЛАВЯНСК</v>
      </c>
      <c r="K144">
        <f ca="1">IFERROR(__xludf.DUMMYFUNCTION("""COMPUTED_VALUE"""),49200)</f>
        <v>49200</v>
      </c>
      <c r="L144" t="str">
        <f ca="1">IFERROR(__xludf.DUMMYFUNCTION("""COMPUTED_VALUE"""),"СЛАВЯНСК")</f>
        <v>СЛАВЯНСК</v>
      </c>
      <c r="M144" t="str">
        <f ca="1">IFERROR(__xludf.DUMMYFUNCTION("""COMPUTED_VALUE"""),"08.08.21 10-40")</f>
        <v>08.08.21 10-40</v>
      </c>
      <c r="N144" t="str">
        <f ca="1">IFERROR(__xludf.DUMMYFUNCTION("""COMPUTED_VALUE"""),"53 ВУ23")</f>
        <v>53 ВУ23</v>
      </c>
      <c r="O144">
        <f ca="1">IFERROR(__xludf.DUMMYFUNCTION("""COMPUTED_VALUE"""),49200)</f>
        <v>49200</v>
      </c>
      <c r="P144" t="str">
        <f ca="1">IFERROR(__xludf.DUMMYFUNCTION("""COMPUTED_VALUE"""),"СЛАВЯНСК")</f>
        <v>СЛАВЯНСК</v>
      </c>
      <c r="Q144">
        <f ca="1">IFERROR(__xludf.DUMMYFUNCTION("""COMPUTED_VALUE"""),46000)</f>
        <v>46000</v>
      </c>
      <c r="R144" t="str">
        <f ca="1">IFERROR(__xludf.DUMMYFUNCTION("""COMPUTED_VALUE"""),"ЗАПОРОЖ-ЛЕВ")</f>
        <v>ЗАПОРОЖ-ЛЕВ</v>
      </c>
      <c r="S144" t="str">
        <f ca="1">IFERROR(__xludf.DUMMYFUNCTION("""COMPUTED_VALUE"""),"04.08.21 04-05")</f>
        <v>04.08.21 04-05</v>
      </c>
      <c r="T144">
        <f ca="1">IFERROR(__xludf.DUMMYFUNCTION("""COMPUTED_VALUE"""),8331)</f>
        <v>8331</v>
      </c>
      <c r="U144" t="str">
        <f ca="1">IFERROR(__xludf.DUMMYFUNCTION("""COMPUTED_VALUE"""),"16.08.2023 ТР-1")</f>
        <v>16.08.2023 ТР-1</v>
      </c>
      <c r="Z144" t="str">
        <f ca="1">IFERROR(__xludf.DUMMYFUNCTION("""COMPUTED_VALUE"""),"ООО «КЕРРИЛАЙН»")</f>
        <v>ООО «КЕРРИЛАЙН»</v>
      </c>
      <c r="AA144" t="str">
        <f ca="1">IFERROR(__xludf.DUMMYFUNCTION("""COMPUTED_VALUE"""),"11-274")</f>
        <v>11-274</v>
      </c>
      <c r="AB144" t="str">
        <f ca="1">IFERROR(__xludf.DUMMYFUNCTION("""COMPUTED_VALUE"""),"48 ДОН")</f>
        <v>48 ДОН</v>
      </c>
      <c r="AC144" t="str">
        <f ca="1">IFERROR(__xludf.DUMMYFUNCTION("""COMPUTED_VALUE"""),"49200 СЛАВЯНСК")</f>
        <v>49200 СЛАВЯНСК</v>
      </c>
      <c r="AD144" t="str">
        <f ca="1">IFERROR(__xludf.DUMMYFUNCTION("""COMPUTED_VALUE"""),"07.08.21 12-09")</f>
        <v>07.08.21 12-09</v>
      </c>
      <c r="AE144" t="str">
        <f ca="1">IFERROR(__xludf.DUMMYFUNCTION("""COMPUTED_VALUE"""),"910 OТCУТCТВИE ПАСПОРТА ФOPМЫ ВУ-4М")</f>
        <v>910 OТCУТCТВИE ПАСПОРТА ФOPМЫ ВУ-4М</v>
      </c>
      <c r="AF144" t="str">
        <f ca="1">IFERROR(__xludf.DUMMYFUNCTION("""COMPUTED_VALUE"""),"48 ДОН")</f>
        <v>48 ДОН</v>
      </c>
      <c r="AG144" t="str">
        <f ca="1">IFERROR(__xludf.DUMMYFUNCTION("""COMPUTED_VALUE"""),"49200 СЛАВЯНСК")</f>
        <v>49200 СЛАВЯНСК</v>
      </c>
      <c r="AH144" t="str">
        <f ca="1">IFERROR(__xludf.DUMMYFUNCTION("""COMPUTED_VALUE"""),"22.07.21 16-00")</f>
        <v>22.07.21 16-00</v>
      </c>
      <c r="AI144" s="21">
        <f ca="1">IFERROR(__xludf.DUMMYFUNCTION("""COMPUTED_VALUE"""),44420.357662037)</f>
        <v>44420.357662037</v>
      </c>
    </row>
    <row r="145" spans="1:35" ht="13" x14ac:dyDescent="0.15">
      <c r="A145">
        <f ca="1">IFERROR(__xludf.DUMMYFUNCTION("""COMPUTED_VALUE"""),364)</f>
        <v>364</v>
      </c>
      <c r="B145" t="str">
        <f ca="1">IFERROR(__xludf.DUMMYFUNCTION("""COMPUTED_VALUE"""),"Кнауф")</f>
        <v>Кнауф</v>
      </c>
      <c r="C145" t="str">
        <f ca="1">IFERROR(__xludf.DUMMYFUNCTION("""COMPUTED_VALUE"""),"Керрилайн 67 РФ")</f>
        <v>Керрилайн 67 РФ</v>
      </c>
      <c r="D145">
        <f ca="1">IFERROR(__xludf.DUMMYFUNCTION("""COMPUTED_VALUE"""),52142650)</f>
        <v>52142650</v>
      </c>
      <c r="E145" t="str">
        <f ca="1">IFERROR(__xludf.DUMMYFUNCTION("""COMPUTED_VALUE"""),"28 КРЫТЫЕ_138")</f>
        <v>28 КРЫТЫЕ_138</v>
      </c>
      <c r="F145">
        <f ca="1">IFERROR(__xludf.DUMMYFUNCTION("""COMPUTED_VALUE"""),25123)</f>
        <v>25123</v>
      </c>
      <c r="G145" t="str">
        <f ca="1">IFERROR(__xludf.DUMMYFUNCTION("""COMPUTED_VALUE"""),"ПЛИТЫ ГИПСОВ")</f>
        <v>ПЛИТЫ ГИПСОВ</v>
      </c>
      <c r="H145">
        <f ca="1">IFERROR(__xludf.DUMMYFUNCTION("""COMPUTED_VALUE"""),63)</f>
        <v>63</v>
      </c>
      <c r="I145">
        <f ca="1">IFERROR(__xludf.DUMMYFUNCTION("""COMPUTED_VALUE"""),3314)</f>
        <v>3314</v>
      </c>
      <c r="J145" t="str">
        <f ca="1">IFERROR(__xludf.DUMMYFUNCTION("""COMPUTED_VALUE"""),"2715 (44020-178-32000) ОСНОВА - ДАРНИЦА")</f>
        <v>2715 (44020-178-32000) ОСНОВА - ДАРНИЦА</v>
      </c>
      <c r="K145">
        <f ca="1">IFERROR(__xludf.DUMMYFUNCTION("""COMPUTED_VALUE"""),32300)</f>
        <v>32300</v>
      </c>
      <c r="L145" t="str">
        <f ca="1">IFERROR(__xludf.DUMMYFUNCTION("""COMPUTED_VALUE"""),"ЯГОТИН")</f>
        <v>ЯГОТИН</v>
      </c>
      <c r="M145" t="str">
        <f ca="1">IFERROR(__xludf.DUMMYFUNCTION("""COMPUTED_VALUE"""),"12.08.21 08-20")</f>
        <v>12.08.21 08-20</v>
      </c>
      <c r="N145" t="str">
        <f ca="1">IFERROR(__xludf.DUMMYFUNCTION("""COMPUTED_VALUE"""),"02 ОТПР")</f>
        <v>02 ОТПР</v>
      </c>
      <c r="O145">
        <f ca="1">IFERROR(__xludf.DUMMYFUNCTION("""COMPUTED_VALUE"""),32040)</f>
        <v>32040</v>
      </c>
      <c r="P145" t="str">
        <f ca="1">IFERROR(__xludf.DUMMYFUNCTION("""COMPUTED_VALUE"""),"ГРУШКИ")</f>
        <v>ГРУШКИ</v>
      </c>
      <c r="Q145">
        <f ca="1">IFERROR(__xludf.DUMMYFUNCTION("""COMPUTED_VALUE"""),49620)</f>
        <v>49620</v>
      </c>
      <c r="R145" t="str">
        <f ca="1">IFERROR(__xludf.DUMMYFUNCTION("""COMPUTED_VALUE"""),"ДЕКОНСКАЯ")</f>
        <v>ДЕКОНСКАЯ</v>
      </c>
      <c r="S145" t="str">
        <f ca="1">IFERROR(__xludf.DUMMYFUNCTION("""COMPUTED_VALUE"""),"08.08.21 07-45")</f>
        <v>08.08.21 07-45</v>
      </c>
      <c r="T145">
        <f ca="1">IFERROR(__xludf.DUMMYFUNCTION("""COMPUTED_VALUE"""),4149)</f>
        <v>4149</v>
      </c>
      <c r="U145" t="str">
        <f ca="1">IFERROR(__xludf.DUMMYFUNCTION("""COMPUTED_VALUE"""),"23.11.2023 КР")</f>
        <v>23.11.2023 КР</v>
      </c>
      <c r="Z145" t="str">
        <f ca="1">IFERROR(__xludf.DUMMYFUNCTION("""COMPUTED_VALUE"""),"ООО «КЕРРИЛАЙН»")</f>
        <v>ООО «КЕРРИЛАЙН»</v>
      </c>
      <c r="AA145" t="str">
        <f ca="1">IFERROR(__xludf.DUMMYFUNCTION("""COMPUTED_VALUE"""),"11-286")</f>
        <v>11-286</v>
      </c>
      <c r="AB145" t="str">
        <f ca="1">IFERROR(__xludf.DUMMYFUNCTION("""COMPUTED_VALUE"""),"40 ОД")</f>
        <v>40 ОД</v>
      </c>
      <c r="AC145" t="str">
        <f ca="1">IFERROR(__xludf.DUMMYFUNCTION("""COMPUTED_VALUE"""),"40200 ЧЕРНОМОРСК-П")</f>
        <v>40200 ЧЕРНОМОРСК-П</v>
      </c>
      <c r="AD145" t="str">
        <f ca="1">IFERROR(__xludf.DUMMYFUNCTION("""COMPUTED_VALUE"""),"05.05.21 11-05")</f>
        <v>05.05.21 11-05</v>
      </c>
      <c r="AE145" t="str">
        <f ca="1">IFERROR(__xludf.DUMMYFUNCTION("""COMPUTED_VALUE"""),"537 НEИCПPAВНOCТЬ ЗAПOPA ДВEPИ")</f>
        <v>537 НEИCПPAВНOCТЬ ЗAПOPA ДВEPИ</v>
      </c>
      <c r="AF145" t="str">
        <f ca="1">IFERROR(__xludf.DUMMYFUNCTION("""COMPUTED_VALUE"""),"40 ОД")</f>
        <v>40 ОД</v>
      </c>
      <c r="AG145" t="str">
        <f ca="1">IFERROR(__xludf.DUMMYFUNCTION("""COMPUTED_VALUE"""),"40200 ЧЕРНОМОРСК-П")</f>
        <v>40200 ЧЕРНОМОРСК-П</v>
      </c>
      <c r="AH145" t="str">
        <f ca="1">IFERROR(__xludf.DUMMYFUNCTION("""COMPUTED_VALUE"""),"08.05.21 16-00")</f>
        <v>08.05.21 16-00</v>
      </c>
      <c r="AI145" s="21">
        <f ca="1">IFERROR(__xludf.DUMMYFUNCTION("""COMPUTED_VALUE"""),44420.357662037)</f>
        <v>44420.357662037</v>
      </c>
    </row>
    <row r="146" spans="1:35" ht="13" x14ac:dyDescent="0.15">
      <c r="A146">
        <f ca="1">IFERROR(__xludf.DUMMYFUNCTION("""COMPUTED_VALUE"""),365)</f>
        <v>365</v>
      </c>
      <c r="B146" t="str">
        <f ca="1">IFERROR(__xludf.DUMMYFUNCTION("""COMPUTED_VALUE"""),"Кнауф")</f>
        <v>Кнауф</v>
      </c>
      <c r="C146" t="str">
        <f ca="1">IFERROR(__xludf.DUMMYFUNCTION("""COMPUTED_VALUE"""),"Керрилайн РФ")</f>
        <v>Керрилайн РФ</v>
      </c>
      <c r="D146">
        <f ca="1">IFERROR(__xludf.DUMMYFUNCTION("""COMPUTED_VALUE"""),52414737)</f>
        <v>52414737</v>
      </c>
      <c r="E146" t="str">
        <f ca="1">IFERROR(__xludf.DUMMYFUNCTION("""COMPUTED_VALUE"""),"20 КРЫТЫЕ")</f>
        <v>20 КРЫТЫЕ</v>
      </c>
      <c r="F146">
        <f ca="1">IFERROR(__xludf.DUMMYFUNCTION("""COMPUTED_VALUE"""),23304)</f>
        <v>23304</v>
      </c>
      <c r="G146" t="str">
        <f ca="1">IFERROR(__xludf.DUMMYFUNCTION("""COMPUTED_VALUE"""),"ГИПС ПР")</f>
        <v>ГИПС ПР</v>
      </c>
      <c r="H146">
        <f ca="1">IFERROR(__xludf.DUMMYFUNCTION("""COMPUTED_VALUE"""),65)</f>
        <v>65</v>
      </c>
      <c r="I146">
        <f ca="1">IFERROR(__xludf.DUMMYFUNCTION("""COMPUTED_VALUE"""),4014)</f>
        <v>4014</v>
      </c>
      <c r="J146" t="str">
        <f ca="1">IFERROR(__xludf.DUMMYFUNCTION("""COMPUTED_VALUE"""),"2209 (32000-526-37040) ДАРНИЦА - КЛЕПАРОВ")</f>
        <v>2209 (32000-526-37040) ДАРНИЦА - КЛЕПАРОВ</v>
      </c>
      <c r="K146">
        <f ca="1">IFERROR(__xludf.DUMMYFUNCTION("""COMPUTED_VALUE"""),37040)</f>
        <v>37040</v>
      </c>
      <c r="L146" t="str">
        <f ca="1">IFERROR(__xludf.DUMMYFUNCTION("""COMPUTED_VALUE"""),"КЛЕПАРОВ")</f>
        <v>КЛЕПАРОВ</v>
      </c>
      <c r="M146" t="str">
        <f ca="1">IFERROR(__xludf.DUMMYFUNCTION("""COMPUTED_VALUE"""),"12.08.21 06-30")</f>
        <v>12.08.21 06-30</v>
      </c>
      <c r="N146" t="str">
        <f ca="1">IFERROR(__xludf.DUMMYFUNCTION("""COMPUTED_VALUE"""),"01 ПРИБ")</f>
        <v>01 ПРИБ</v>
      </c>
      <c r="O146">
        <f ca="1">IFERROR(__xludf.DUMMYFUNCTION("""COMPUTED_VALUE"""),37050)</f>
        <v>37050</v>
      </c>
      <c r="P146" t="str">
        <f ca="1">IFERROR(__xludf.DUMMYFUNCTION("""COMPUTED_VALUE"""),"РЯСНА II")</f>
        <v>РЯСНА II</v>
      </c>
      <c r="Q146">
        <f ca="1">IFERROR(__xludf.DUMMYFUNCTION("""COMPUTED_VALUE"""),49620)</f>
        <v>49620</v>
      </c>
      <c r="R146" t="str">
        <f ca="1">IFERROR(__xludf.DUMMYFUNCTION("""COMPUTED_VALUE"""),"ДЕКОНСКАЯ")</f>
        <v>ДЕКОНСКАЯ</v>
      </c>
      <c r="S146" t="str">
        <f ca="1">IFERROR(__xludf.DUMMYFUNCTION("""COMPUTED_VALUE"""),"04.08.21 15-20")</f>
        <v>04.08.21 15-20</v>
      </c>
      <c r="T146">
        <f ca="1">IFERROR(__xludf.DUMMYFUNCTION("""COMPUTED_VALUE"""),4149)</f>
        <v>4149</v>
      </c>
      <c r="U146" t="str">
        <f ca="1">IFERROR(__xludf.DUMMYFUNCTION("""COMPUTED_VALUE"""),"14.06.2024 КР")</f>
        <v>14.06.2024 КР</v>
      </c>
      <c r="Z146" t="str">
        <f ca="1">IFERROR(__xludf.DUMMYFUNCTION("""COMPUTED_VALUE"""),"ООО «КЕРРИЛАЙН»")</f>
        <v>ООО «КЕРРИЛАЙН»</v>
      </c>
      <c r="AA146" t="str">
        <f ca="1">IFERROR(__xludf.DUMMYFUNCTION("""COMPUTED_VALUE"""),"11-270")</f>
        <v>11-270</v>
      </c>
      <c r="AB146" t="str">
        <f ca="1">IFERROR(__xludf.DUMMYFUNCTION("""COMPUTED_VALUE"""),"45 ПРИДН")</f>
        <v>45 ПРИДН</v>
      </c>
      <c r="AC146" t="str">
        <f ca="1">IFERROR(__xludf.DUMMYFUNCTION("""COMPUTED_VALUE"""),"47600 МЕЛИТОПОЛЬ")</f>
        <v>47600 МЕЛИТОПОЛЬ</v>
      </c>
      <c r="AD146" t="str">
        <f ca="1">IFERROR(__xludf.DUMMYFUNCTION("""COMPUTED_VALUE"""),"07.04.21 01-17")</f>
        <v>07.04.21 01-17</v>
      </c>
      <c r="AE146" t="str">
        <f ca="1">IFERROR(__xludf.DUMMYFUNCTION("""COMPUTED_VALUE"""),"570 ИCТEК КAЛЕНДАРНЫЙ CPOК ДEПOВCКОГО PEМOНТA")</f>
        <v>570 ИCТEК КAЛЕНДАРНЫЙ CPOК ДEПOВCКОГО PEМOНТA</v>
      </c>
      <c r="AF146" t="str">
        <f ca="1">IFERROR(__xludf.DUMMYFUNCTION("""COMPUTED_VALUE"""),"45 ПРИДН")</f>
        <v>45 ПРИДН</v>
      </c>
      <c r="AG146" t="str">
        <f ca="1">IFERROR(__xludf.DUMMYFUNCTION("""COMPUTED_VALUE"""),"47600 МЕЛИТОПОЛЬ")</f>
        <v>47600 МЕЛИТОПОЛЬ</v>
      </c>
      <c r="AH146" t="str">
        <f ca="1">IFERROR(__xludf.DUMMYFUNCTION("""COMPUTED_VALUE"""),"14.06.21 13-20")</f>
        <v>14.06.21 13-20</v>
      </c>
      <c r="AI146" s="21">
        <f ca="1">IFERROR(__xludf.DUMMYFUNCTION("""COMPUTED_VALUE"""),44420.357662037)</f>
        <v>44420.357662037</v>
      </c>
    </row>
    <row r="147" spans="1:35" ht="13" x14ac:dyDescent="0.15">
      <c r="A147">
        <f ca="1">IFERROR(__xludf.DUMMYFUNCTION("""COMPUTED_VALUE"""),366)</f>
        <v>366</v>
      </c>
      <c r="B147" t="str">
        <f ca="1">IFERROR(__xludf.DUMMYFUNCTION("""COMPUTED_VALUE"""),"Кнауф")</f>
        <v>Кнауф</v>
      </c>
      <c r="C147" t="str">
        <f ca="1">IFERROR(__xludf.DUMMYFUNCTION("""COMPUTED_VALUE"""),"Керрилайн РФ")</f>
        <v>Керрилайн РФ</v>
      </c>
      <c r="D147">
        <f ca="1">IFERROR(__xludf.DUMMYFUNCTION("""COMPUTED_VALUE"""),52414745)</f>
        <v>52414745</v>
      </c>
      <c r="E147" t="str">
        <f ca="1">IFERROR(__xludf.DUMMYFUNCTION("""COMPUTED_VALUE"""),"20 КРЫТЫЕ")</f>
        <v>20 КРЫТЫЕ</v>
      </c>
      <c r="F147">
        <f ca="1">IFERROR(__xludf.DUMMYFUNCTION("""COMPUTED_VALUE"""),28114)</f>
        <v>28114</v>
      </c>
      <c r="G147" t="str">
        <f ca="1">IFERROR(__xludf.DUMMYFUNCTION("""COMPUTED_VALUE"""),"ЦЕМЕНТ ПР")</f>
        <v>ЦЕМЕНТ ПР</v>
      </c>
      <c r="H147">
        <f ca="1">IFERROR(__xludf.DUMMYFUNCTION("""COMPUTED_VALUE"""),68)</f>
        <v>68</v>
      </c>
      <c r="I147">
        <f ca="1">IFERROR(__xludf.DUMMYFUNCTION("""COMPUTED_VALUE"""),148)</f>
        <v>148</v>
      </c>
      <c r="J147" t="str">
        <f ca="1">IFERROR(__xludf.DUMMYFUNCTION("""COMPUTED_VALUE"""),"2860 (37000-732-32000) ЛЬВОВ - ДАРНИЦА")</f>
        <v>2860 (37000-732-32000) ЛЬВОВ - ДАРНИЦА</v>
      </c>
      <c r="K147">
        <f ca="1">IFERROR(__xludf.DUMMYFUNCTION("""COMPUTED_VALUE"""),37001)</f>
        <v>37001</v>
      </c>
      <c r="L147" t="str">
        <f ca="1">IFERROR(__xludf.DUMMYFUNCTION("""COMPUTED_VALUE"""),"БП 1479 КМ")</f>
        <v>БП 1479 КМ</v>
      </c>
      <c r="M147" t="str">
        <f ca="1">IFERROR(__xludf.DUMMYFUNCTION("""COMPUTED_VALUE"""),"12.08.21 08-20")</f>
        <v>12.08.21 08-20</v>
      </c>
      <c r="N147" t="str">
        <f ca="1">IFERROR(__xludf.DUMMYFUNCTION("""COMPUTED_VALUE"""),"63 ПРОС")</f>
        <v>63 ПРОС</v>
      </c>
      <c r="O147">
        <f ca="1">IFERROR(__xludf.DUMMYFUNCTION("""COMPUTED_VALUE"""),42670)</f>
        <v>42670</v>
      </c>
      <c r="P147" t="str">
        <f ca="1">IFERROR(__xludf.DUMMYFUNCTION("""COMPUTED_VALUE"""),"СУЛА")</f>
        <v>СУЛА</v>
      </c>
      <c r="Q147">
        <f ca="1">IFERROR(__xludf.DUMMYFUNCTION("""COMPUTED_VALUE"""),38830)</f>
        <v>38830</v>
      </c>
      <c r="R147" t="str">
        <f ca="1">IFERROR(__xludf.DUMMYFUNCTION("""COMPUTED_VALUE"""),"ЯМНИЦА")</f>
        <v>ЯМНИЦА</v>
      </c>
      <c r="S147" t="str">
        <f ca="1">IFERROR(__xludf.DUMMYFUNCTION("""COMPUTED_VALUE"""),"06.08.21 07-05")</f>
        <v>06.08.21 07-05</v>
      </c>
      <c r="T147">
        <f ca="1">IFERROR(__xludf.DUMMYFUNCTION("""COMPUTED_VALUE"""),8199)</f>
        <v>8199</v>
      </c>
      <c r="U147" t="str">
        <f ca="1">IFERROR(__xludf.DUMMYFUNCTION("""COMPUTED_VALUE"""),"05.03.2024 КР")</f>
        <v>05.03.2024 КР</v>
      </c>
      <c r="Z147" t="str">
        <f ca="1">IFERROR(__xludf.DUMMYFUNCTION("""COMPUTED_VALUE"""),"ООО «КЕРРИЛАЙН»")</f>
        <v>ООО «КЕРРИЛАЙН»</v>
      </c>
      <c r="AA147" t="str">
        <f ca="1">IFERROR(__xludf.DUMMYFUNCTION("""COMPUTED_VALUE"""),"11-270")</f>
        <v>11-270</v>
      </c>
      <c r="AB147" t="str">
        <f ca="1">IFERROR(__xludf.DUMMYFUNCTION("""COMPUTED_VALUE"""),"45 ПРИДН")</f>
        <v>45 ПРИДН</v>
      </c>
      <c r="AC147" t="str">
        <f ca="1">IFERROR(__xludf.DUMMYFUNCTION("""COMPUTED_VALUE"""),"47600 МЕЛИТОПОЛЬ")</f>
        <v>47600 МЕЛИТОПОЛЬ</v>
      </c>
      <c r="AD147" t="str">
        <f ca="1">IFERROR(__xludf.DUMMYFUNCTION("""COMPUTED_VALUE"""),"15.02.21 18-39")</f>
        <v>15.02.21 18-39</v>
      </c>
      <c r="AE147" t="str">
        <f ca="1">IFERROR(__xludf.DUMMYFUNCTION("""COMPUTED_VALUE"""),"570 ИCТEК КAЛЕНДАРНЫЙ CPOК ДEПOВCКОГО PEМOНТA")</f>
        <v>570 ИCТEК КAЛЕНДАРНЫЙ CPOК ДEПOВCКОГО PEМOНТA</v>
      </c>
      <c r="AF147" t="str">
        <f ca="1">IFERROR(__xludf.DUMMYFUNCTION("""COMPUTED_VALUE"""),"45 ПРИДН")</f>
        <v>45 ПРИДН</v>
      </c>
      <c r="AG147" t="str">
        <f ca="1">IFERROR(__xludf.DUMMYFUNCTION("""COMPUTED_VALUE"""),"47600 МЕЛИТОПОЛЬ")</f>
        <v>47600 МЕЛИТОПОЛЬ</v>
      </c>
      <c r="AH147" t="str">
        <f ca="1">IFERROR(__xludf.DUMMYFUNCTION("""COMPUTED_VALUE"""),"05.03.21 14-10")</f>
        <v>05.03.21 14-10</v>
      </c>
      <c r="AI147" s="21">
        <f ca="1">IFERROR(__xludf.DUMMYFUNCTION("""COMPUTED_VALUE"""),44420.357662037)</f>
        <v>44420.357662037</v>
      </c>
    </row>
    <row r="148" spans="1:35" ht="13" x14ac:dyDescent="0.15">
      <c r="A148">
        <f ca="1">IFERROR(__xludf.DUMMYFUNCTION("""COMPUTED_VALUE"""),367)</f>
        <v>367</v>
      </c>
      <c r="B148" t="str">
        <f ca="1">IFERROR(__xludf.DUMMYFUNCTION("""COMPUTED_VALUE"""),"Кнауф")</f>
        <v>Кнауф</v>
      </c>
      <c r="C148" t="str">
        <f ca="1">IFERROR(__xludf.DUMMYFUNCTION("""COMPUTED_VALUE"""),"Керрилайн РФ")</f>
        <v>Керрилайн РФ</v>
      </c>
      <c r="D148">
        <f ca="1">IFERROR(__xludf.DUMMYFUNCTION("""COMPUTED_VALUE"""),52419389)</f>
        <v>52419389</v>
      </c>
      <c r="E148" t="str">
        <f ca="1">IFERROR(__xludf.DUMMYFUNCTION("""COMPUTED_VALUE"""),"20 КРЫТЫЕ")</f>
        <v>20 КРЫТЫЕ</v>
      </c>
      <c r="F148">
        <f ca="1">IFERROR(__xludf.DUMMYFUNCTION("""COMPUTED_VALUE"""),28114)</f>
        <v>28114</v>
      </c>
      <c r="G148" t="str">
        <f ca="1">IFERROR(__xludf.DUMMYFUNCTION("""COMPUTED_VALUE"""),"ЦЕМЕНТ ПР")</f>
        <v>ЦЕМЕНТ ПР</v>
      </c>
      <c r="H148">
        <f ca="1">IFERROR(__xludf.DUMMYFUNCTION("""COMPUTED_VALUE"""),68)</f>
        <v>68</v>
      </c>
      <c r="I148">
        <f ca="1">IFERROR(__xludf.DUMMYFUNCTION("""COMPUTED_VALUE"""),1494)</f>
        <v>1494</v>
      </c>
      <c r="J148" t="str">
        <f ca="1">IFERROR(__xludf.DUMMYFUNCTION("""COMPUTED_VALUE"""),"2325 (38840-160-37000) ИВАНО-ФРАНК - ЛЬВОВ")</f>
        <v>2325 (38840-160-37000) ИВАНО-ФРАНК - ЛЬВОВ</v>
      </c>
      <c r="K148">
        <f ca="1">IFERROR(__xludf.DUMMYFUNCTION("""COMPUTED_VALUE"""),37910)</f>
        <v>37910</v>
      </c>
      <c r="L148" t="str">
        <f ca="1">IFERROR(__xludf.DUMMYFUNCTION("""COMPUTED_VALUE"""),"ХОДОРОВ")</f>
        <v>ХОДОРОВ</v>
      </c>
      <c r="M148" t="str">
        <f ca="1">IFERROR(__xludf.DUMMYFUNCTION("""COMPUTED_VALUE"""),"12.08.21 02-21")</f>
        <v>12.08.21 02-21</v>
      </c>
      <c r="N148" t="str">
        <f ca="1">IFERROR(__xludf.DUMMYFUNCTION("""COMPUTED_VALUE"""),"31 ПРИБ")</f>
        <v>31 ПРИБ</v>
      </c>
      <c r="O148">
        <f ca="1">IFERROR(__xludf.DUMMYFUNCTION("""COMPUTED_VALUE"""),44050)</f>
        <v>44050</v>
      </c>
      <c r="P148" t="str">
        <f ca="1">IFERROR(__xludf.DUMMYFUNCTION("""COMPUTED_VALUE"""),"ХАРЬКОВ-БАЛ")</f>
        <v>ХАРЬКОВ-БАЛ</v>
      </c>
      <c r="Q148">
        <f ca="1">IFERROR(__xludf.DUMMYFUNCTION("""COMPUTED_VALUE"""),38830)</f>
        <v>38830</v>
      </c>
      <c r="R148" t="str">
        <f ca="1">IFERROR(__xludf.DUMMYFUNCTION("""COMPUTED_VALUE"""),"ЯМНИЦА")</f>
        <v>ЯМНИЦА</v>
      </c>
      <c r="S148" t="str">
        <f ca="1">IFERROR(__xludf.DUMMYFUNCTION("""COMPUTED_VALUE"""),"07.08.21 10-25")</f>
        <v>07.08.21 10-25</v>
      </c>
      <c r="T148">
        <f ca="1">IFERROR(__xludf.DUMMYFUNCTION("""COMPUTED_VALUE"""),8199)</f>
        <v>8199</v>
      </c>
      <c r="U148" t="str">
        <f ca="1">IFERROR(__xludf.DUMMYFUNCTION("""COMPUTED_VALUE"""),"18.11.2023 ДР")</f>
        <v>18.11.2023 ДР</v>
      </c>
      <c r="Z148" t="str">
        <f ca="1">IFERROR(__xludf.DUMMYFUNCTION("""COMPUTED_VALUE"""),"ООО «КЕРРИЛАЙН»")</f>
        <v>ООО «КЕРРИЛАЙН»</v>
      </c>
      <c r="AA148" t="str">
        <f ca="1">IFERROR(__xludf.DUMMYFUNCTION("""COMPUTED_VALUE"""),"11-217")</f>
        <v>11-217</v>
      </c>
      <c r="AB148" t="str">
        <f ca="1">IFERROR(__xludf.DUMMYFUNCTION("""COMPUTED_VALUE"""),"45 ПРИДН")</f>
        <v>45 ПРИДН</v>
      </c>
      <c r="AC148" t="str">
        <f ca="1">IFERROR(__xludf.DUMMYFUNCTION("""COMPUTED_VALUE"""),"47600 МЕЛИТОПОЛЬ")</f>
        <v>47600 МЕЛИТОПОЛЬ</v>
      </c>
      <c r="AD148" t="str">
        <f ca="1">IFERROR(__xludf.DUMMYFUNCTION("""COMPUTED_VALUE"""),"08.11.20 08-36")</f>
        <v>08.11.20 08-36</v>
      </c>
      <c r="AE148" t="str">
        <f ca="1">IFERROR(__xludf.DUMMYFUNCTION("""COMPUTED_VALUE"""),"571 ИCТEК КAЛЕНДАРНЫЙ CPOК КAПИТAЛЬНОГО PEМOНТA")</f>
        <v>571 ИCТEК КAЛЕНДАРНЫЙ CPOК КAПИТAЛЬНОГО PEМOНТA</v>
      </c>
      <c r="AF148" t="str">
        <f ca="1">IFERROR(__xludf.DUMMYFUNCTION("""COMPUTED_VALUE"""),"45 ПРИДН")</f>
        <v>45 ПРИДН</v>
      </c>
      <c r="AG148" t="str">
        <f ca="1">IFERROR(__xludf.DUMMYFUNCTION("""COMPUTED_VALUE"""),"47600 МЕЛИТОПОЛЬ")</f>
        <v>47600 МЕЛИТОПОЛЬ</v>
      </c>
      <c r="AH148" t="str">
        <f ca="1">IFERROR(__xludf.DUMMYFUNCTION("""COMPUTED_VALUE"""),"18.11.20 14-10")</f>
        <v>18.11.20 14-10</v>
      </c>
      <c r="AI148" s="21">
        <f ca="1">IFERROR(__xludf.DUMMYFUNCTION("""COMPUTED_VALUE"""),44420.357662037)</f>
        <v>44420.357662037</v>
      </c>
    </row>
    <row r="149" spans="1:35" ht="13" x14ac:dyDescent="0.15">
      <c r="A149">
        <f ca="1">IFERROR(__xludf.DUMMYFUNCTION("""COMPUTED_VALUE"""),368)</f>
        <v>368</v>
      </c>
      <c r="B149" t="str">
        <f ca="1">IFERROR(__xludf.DUMMYFUNCTION("""COMPUTED_VALUE"""),"Кнауф")</f>
        <v>Кнауф</v>
      </c>
      <c r="C149" t="str">
        <f ca="1">IFERROR(__xludf.DUMMYFUNCTION("""COMPUTED_VALUE"""),"Керрилайн")</f>
        <v>Керрилайн</v>
      </c>
      <c r="D149">
        <f ca="1">IFERROR(__xludf.DUMMYFUNCTION("""COMPUTED_VALUE"""),52537792)</f>
        <v>52537792</v>
      </c>
      <c r="E149" t="str">
        <f ca="1">IFERROR(__xludf.DUMMYFUNCTION("""COMPUTED_VALUE"""),"20 КРЫТЫЕ")</f>
        <v>20 КРЫТЫЕ</v>
      </c>
      <c r="F149">
        <f ca="1">IFERROR(__xludf.DUMMYFUNCTION("""COMPUTED_VALUE"""),28114)</f>
        <v>28114</v>
      </c>
      <c r="G149" t="str">
        <f ca="1">IFERROR(__xludf.DUMMYFUNCTION("""COMPUTED_VALUE"""),"ЦЕМЕНТ ПР")</f>
        <v>ЦЕМЕНТ ПР</v>
      </c>
      <c r="H149">
        <f ca="1">IFERROR(__xludf.DUMMYFUNCTION("""COMPUTED_VALUE"""),68)</f>
        <v>68</v>
      </c>
      <c r="I149">
        <f ca="1">IFERROR(__xludf.DUMMYFUNCTION("""COMPUTED_VALUE"""),1494)</f>
        <v>1494</v>
      </c>
      <c r="J149" t="str">
        <f ca="1">IFERROR(__xludf.DUMMYFUNCTION("""COMPUTED_VALUE"""),"2346 (38830-080-37000) ЯМНИЦА - ЛЬВОВ")</f>
        <v>2346 (38830-080-37000) ЯМНИЦА - ЛЬВОВ</v>
      </c>
      <c r="K149">
        <f ca="1">IFERROR(__xludf.DUMMYFUNCTION("""COMPUTED_VALUE"""),37000)</f>
        <v>37000</v>
      </c>
      <c r="L149" t="str">
        <f ca="1">IFERROR(__xludf.DUMMYFUNCTION("""COMPUTED_VALUE"""),"ЛЬВОВ")</f>
        <v>ЛЬВОВ</v>
      </c>
      <c r="M149" t="str">
        <f ca="1">IFERROR(__xludf.DUMMYFUNCTION("""COMPUTED_VALUE"""),"12.08.21 00-54")</f>
        <v>12.08.21 00-54</v>
      </c>
      <c r="N149" t="str">
        <f ca="1">IFERROR(__xludf.DUMMYFUNCTION("""COMPUTED_VALUE"""),"01 ПРИБ")</f>
        <v>01 ПРИБ</v>
      </c>
      <c r="O149">
        <f ca="1">IFERROR(__xludf.DUMMYFUNCTION("""COMPUTED_VALUE"""),44050)</f>
        <v>44050</v>
      </c>
      <c r="P149" t="str">
        <f ca="1">IFERROR(__xludf.DUMMYFUNCTION("""COMPUTED_VALUE"""),"ХАРЬКОВ-БАЛ")</f>
        <v>ХАРЬКОВ-БАЛ</v>
      </c>
      <c r="Q149">
        <f ca="1">IFERROR(__xludf.DUMMYFUNCTION("""COMPUTED_VALUE"""),38830)</f>
        <v>38830</v>
      </c>
      <c r="R149" t="str">
        <f ca="1">IFERROR(__xludf.DUMMYFUNCTION("""COMPUTED_VALUE"""),"ЯМНИЦА")</f>
        <v>ЯМНИЦА</v>
      </c>
      <c r="S149" t="str">
        <f ca="1">IFERROR(__xludf.DUMMYFUNCTION("""COMPUTED_VALUE"""),"10.08.21 10-00")</f>
        <v>10.08.21 10-00</v>
      </c>
      <c r="T149">
        <f ca="1">IFERROR(__xludf.DUMMYFUNCTION("""COMPUTED_VALUE"""),8199)</f>
        <v>8199</v>
      </c>
      <c r="U149" t="str">
        <f ca="1">IFERROR(__xludf.DUMMYFUNCTION("""COMPUTED_VALUE"""),"01.01.2022 ТР-1")</f>
        <v>01.01.2022 ТР-1</v>
      </c>
      <c r="Z149" t="str">
        <f ca="1">IFERROR(__xludf.DUMMYFUNCTION("""COMPUTED_VALUE"""),"ООО «КЕРРИЛАЙН»")</f>
        <v>ООО «КЕРРИЛАЙН»</v>
      </c>
      <c r="AA149" t="str">
        <f ca="1">IFERROR(__xludf.DUMMYFUNCTION("""COMPUTED_VALUE"""),"11-276")</f>
        <v>11-276</v>
      </c>
      <c r="AB149" t="str">
        <f ca="1">IFERROR(__xludf.DUMMYFUNCTION("""COMPUTED_VALUE"""),"43 ЮЖН")</f>
        <v>43 ЮЖН</v>
      </c>
      <c r="AC149" t="str">
        <f ca="1">IFERROR(__xludf.DUMMYFUNCTION("""COMPUTED_VALUE"""),"44020 ОСНОВА")</f>
        <v>44020 ОСНОВА</v>
      </c>
      <c r="AD149" t="str">
        <f ca="1">IFERROR(__xludf.DUMMYFUNCTION("""COMPUTED_VALUE"""),"17.12.20 22-37")</f>
        <v>17.12.20 22-37</v>
      </c>
      <c r="AE149" t="str">
        <f ca="1">IFERROR(__xludf.DUMMYFUNCTION("""COMPUTED_VALUE"""),"537 НEИCПPAВНOCТЬ ЗAПOPA ДВEPИ")</f>
        <v>537 НEИCПPAВНOCТЬ ЗAПOPA ДВEPИ</v>
      </c>
      <c r="AF149" t="str">
        <f ca="1">IFERROR(__xludf.DUMMYFUNCTION("""COMPUTED_VALUE"""),"43 ЮЖН")</f>
        <v>43 ЮЖН</v>
      </c>
      <c r="AG149" t="str">
        <f ca="1">IFERROR(__xludf.DUMMYFUNCTION("""COMPUTED_VALUE"""),"44020 ОСНОВА")</f>
        <v>44020 ОСНОВА</v>
      </c>
      <c r="AH149" t="str">
        <f ca="1">IFERROR(__xludf.DUMMYFUNCTION("""COMPUTED_VALUE"""),"23.12.20 17-00")</f>
        <v>23.12.20 17-00</v>
      </c>
      <c r="AI149" s="21">
        <f ca="1">IFERROR(__xludf.DUMMYFUNCTION("""COMPUTED_VALUE"""),44420.357662037)</f>
        <v>44420.357662037</v>
      </c>
    </row>
    <row r="150" spans="1:35" ht="13" x14ac:dyDescent="0.15">
      <c r="A150">
        <f ca="1">IFERROR(__xludf.DUMMYFUNCTION("""COMPUTED_VALUE"""),369)</f>
        <v>369</v>
      </c>
      <c r="B150" t="str">
        <f ca="1">IFERROR(__xludf.DUMMYFUNCTION("""COMPUTED_VALUE"""),"Кнауф")</f>
        <v>Кнауф</v>
      </c>
      <c r="C150" t="str">
        <f ca="1">IFERROR(__xludf.DUMMYFUNCTION("""COMPUTED_VALUE"""),"Керрилайн РФ")</f>
        <v>Керрилайн РФ</v>
      </c>
      <c r="D150">
        <f ca="1">IFERROR(__xludf.DUMMYFUNCTION("""COMPUTED_VALUE"""),52599180)</f>
        <v>52599180</v>
      </c>
      <c r="E150" t="str">
        <f ca="1">IFERROR(__xludf.DUMMYFUNCTION("""COMPUTED_VALUE"""),"20 КРЫТЫЕ")</f>
        <v>20 КРЫТЫЕ</v>
      </c>
      <c r="F150">
        <f ca="1">IFERROR(__xludf.DUMMYFUNCTION("""COMPUTED_VALUE"""),23304)</f>
        <v>23304</v>
      </c>
      <c r="G150" t="str">
        <f ca="1">IFERROR(__xludf.DUMMYFUNCTION("""COMPUTED_VALUE"""),"ГИПС ПР")</f>
        <v>ГИПС ПР</v>
      </c>
      <c r="H150">
        <f ca="1">IFERROR(__xludf.DUMMYFUNCTION("""COMPUTED_VALUE"""),67)</f>
        <v>67</v>
      </c>
      <c r="I150">
        <f ca="1">IFERROR(__xludf.DUMMYFUNCTION("""COMPUTED_VALUE"""),1222)</f>
        <v>1222</v>
      </c>
      <c r="J150" t="str">
        <f ca="1">IFERROR(__xludf.DUMMYFUNCTION("""COMPUTED_VALUE"""),"5555 (35000-007-00080) ЗДОЛБУНОВ -")</f>
        <v>5555 (35000-007-00080) ЗДОЛБУНОВ -</v>
      </c>
      <c r="K150">
        <f ca="1">IFERROR(__xludf.DUMMYFUNCTION("""COMPUTED_VALUE"""),35000)</f>
        <v>35000</v>
      </c>
      <c r="L150" t="str">
        <f ca="1">IFERROR(__xludf.DUMMYFUNCTION("""COMPUTED_VALUE"""),"ЗДОЛБУНОВ")</f>
        <v>ЗДОЛБУНОВ</v>
      </c>
      <c r="M150" t="str">
        <f ca="1">IFERROR(__xludf.DUMMYFUNCTION("""COMPUTED_VALUE"""),"11.08.21 23-11")</f>
        <v>11.08.21 23-11</v>
      </c>
      <c r="N150" t="str">
        <f ca="1">IFERROR(__xludf.DUMMYFUNCTION("""COMPUTED_VALUE"""),"04 РАСФ")</f>
        <v>04 РАСФ</v>
      </c>
      <c r="O150">
        <f ca="1">IFERROR(__xludf.DUMMYFUNCTION("""COMPUTED_VALUE"""),35660)</f>
        <v>35660</v>
      </c>
      <c r="P150" t="str">
        <f ca="1">IFERROR(__xludf.DUMMYFUNCTION("""COMPUTED_VALUE"""),"РОВНО")</f>
        <v>РОВНО</v>
      </c>
      <c r="Q150">
        <f ca="1">IFERROR(__xludf.DUMMYFUNCTION("""COMPUTED_VALUE"""),49620)</f>
        <v>49620</v>
      </c>
      <c r="R150" t="str">
        <f ca="1">IFERROR(__xludf.DUMMYFUNCTION("""COMPUTED_VALUE"""),"ДЕКОНСКАЯ")</f>
        <v>ДЕКОНСКАЯ</v>
      </c>
      <c r="S150" t="str">
        <f ca="1">IFERROR(__xludf.DUMMYFUNCTION("""COMPUTED_VALUE"""),"05.08.21 09-00")</f>
        <v>05.08.21 09-00</v>
      </c>
      <c r="T150">
        <f ca="1">IFERROR(__xludf.DUMMYFUNCTION("""COMPUTED_VALUE"""),4149)</f>
        <v>4149</v>
      </c>
      <c r="U150" t="str">
        <f ca="1">IFERROR(__xludf.DUMMYFUNCTION("""COMPUTED_VALUE"""),"15.06.2024 КР")</f>
        <v>15.06.2024 КР</v>
      </c>
      <c r="Z150" t="str">
        <f ca="1">IFERROR(__xludf.DUMMYFUNCTION("""COMPUTED_VALUE"""),"ООО «КЕРРИЛАЙН»")</f>
        <v>ООО «КЕРРИЛАЙН»</v>
      </c>
      <c r="AA150" t="str">
        <f ca="1">IFERROR(__xludf.DUMMYFUNCTION("""COMPUTED_VALUE"""),"11-259")</f>
        <v>11-259</v>
      </c>
      <c r="AB150" t="str">
        <f ca="1">IFERROR(__xludf.DUMMYFUNCTION("""COMPUTED_VALUE"""),"45 ПРИДН")</f>
        <v>45 ПРИДН</v>
      </c>
      <c r="AC150" t="str">
        <f ca="1">IFERROR(__xludf.DUMMYFUNCTION("""COMPUTED_VALUE"""),"47600 МЕЛИТОПОЛЬ")</f>
        <v>47600 МЕЛИТОПОЛЬ</v>
      </c>
      <c r="AD150" t="str">
        <f ca="1">IFERROR(__xludf.DUMMYFUNCTION("""COMPUTED_VALUE"""),"01.04.21 12-02")</f>
        <v>01.04.21 12-02</v>
      </c>
      <c r="AE150" t="str">
        <f ca="1">IFERROR(__xludf.DUMMYFUNCTION("""COMPUTED_VALUE"""),"570 ИCТEК КAЛЕНДАРНЫЙ CPOК ДEПOВCКОГО PEМOНТA")</f>
        <v>570 ИCТEК КAЛЕНДАРНЫЙ CPOК ДEПOВCКОГО PEМOНТA</v>
      </c>
      <c r="AF150" t="str">
        <f ca="1">IFERROR(__xludf.DUMMYFUNCTION("""COMPUTED_VALUE"""),"45 ПРИДН")</f>
        <v>45 ПРИДН</v>
      </c>
      <c r="AG150" t="str">
        <f ca="1">IFERROR(__xludf.DUMMYFUNCTION("""COMPUTED_VALUE"""),"47600 МЕЛИТОПОЛЬ")</f>
        <v>47600 МЕЛИТОПОЛЬ</v>
      </c>
      <c r="AH150" t="str">
        <f ca="1">IFERROR(__xludf.DUMMYFUNCTION("""COMPUTED_VALUE"""),"15.06.21 13-20")</f>
        <v>15.06.21 13-20</v>
      </c>
      <c r="AI150" s="21">
        <f ca="1">IFERROR(__xludf.DUMMYFUNCTION("""COMPUTED_VALUE"""),44420.357662037)</f>
        <v>44420.357662037</v>
      </c>
    </row>
    <row r="151" spans="1:35" ht="13" x14ac:dyDescent="0.15">
      <c r="A151">
        <f ca="1">IFERROR(__xludf.DUMMYFUNCTION("""COMPUTED_VALUE"""),372)</f>
        <v>372</v>
      </c>
      <c r="B151" t="str">
        <f ca="1">IFERROR(__xludf.DUMMYFUNCTION("""COMPUTED_VALUE"""),"Кнауф")</f>
        <v>Кнауф</v>
      </c>
      <c r="C151" t="str">
        <f ca="1">IFERROR(__xludf.DUMMYFUNCTION("""COMPUTED_VALUE"""),"АССТРА")</f>
        <v>АССТРА</v>
      </c>
      <c r="D151">
        <f ca="1">IFERROR(__xludf.DUMMYFUNCTION("""COMPUTED_VALUE"""),52546991)</f>
        <v>52546991</v>
      </c>
      <c r="E151" t="str">
        <f ca="1">IFERROR(__xludf.DUMMYFUNCTION("""COMPUTED_VALUE"""),"20 КРЫТЫЕ")</f>
        <v>20 КРЫТЫЕ</v>
      </c>
      <c r="F151">
        <f ca="1">IFERROR(__xludf.DUMMYFUNCTION("""COMPUTED_VALUE"""),42103)</f>
        <v>42103</v>
      </c>
      <c r="G151" t="str">
        <f ca="1">IFERROR(__xludf.DUMMYFUNCTION("""COMPUTED_VALUE"""),"ВАГОНЫ ЖД СВ")</f>
        <v>ВАГОНЫ ЖД СВ</v>
      </c>
      <c r="H151">
        <f ca="1">IFERROR(__xludf.DUMMYFUNCTION("""COMPUTED_VALUE"""),0)</f>
        <v>0</v>
      </c>
      <c r="I151">
        <f ca="1">IFERROR(__xludf.DUMMYFUNCTION("""COMPUTED_VALUE"""),4149)</f>
        <v>4149</v>
      </c>
      <c r="J151" t="str">
        <f ca="1">IFERROR(__xludf.DUMMYFUNCTION("""COMPUTED_VALUE"""),"3488 (42830-099-44870) ГРЕБЕНКА - ПОЛТАВА-ЮЖН")</f>
        <v>3488 (42830-099-44870) ГРЕБЕНКА - ПОЛТАВА-ЮЖН</v>
      </c>
      <c r="K151">
        <f ca="1">IFERROR(__xludf.DUMMYFUNCTION("""COMPUTED_VALUE"""),44850)</f>
        <v>44850</v>
      </c>
      <c r="L151" t="str">
        <f ca="1">IFERROR(__xludf.DUMMYFUNCTION("""COMPUTED_VALUE"""),"ПОЛТАВА-КИЕВ")</f>
        <v>ПОЛТАВА-КИЕВ</v>
      </c>
      <c r="M151" t="str">
        <f ca="1">IFERROR(__xludf.DUMMYFUNCTION("""COMPUTED_VALUE"""),"12.08.21 05-43")</f>
        <v>12.08.21 05-43</v>
      </c>
      <c r="N151" t="str">
        <f ca="1">IFERROR(__xludf.DUMMYFUNCTION("""COMPUTED_VALUE"""),"01 ПРИБ")</f>
        <v>01 ПРИБ</v>
      </c>
      <c r="O151">
        <f ca="1">IFERROR(__xludf.DUMMYFUNCTION("""COMPUTED_VALUE"""),49620)</f>
        <v>49620</v>
      </c>
      <c r="P151" t="str">
        <f ca="1">IFERROR(__xludf.DUMMYFUNCTION("""COMPUTED_VALUE"""),"ДЕКОНСКАЯ")</f>
        <v>ДЕКОНСКАЯ</v>
      </c>
      <c r="Q151">
        <f ca="1">IFERROR(__xludf.DUMMYFUNCTION("""COMPUTED_VALUE"""),32500)</f>
        <v>32500</v>
      </c>
      <c r="R151" t="str">
        <f ca="1">IFERROR(__xludf.DUMMYFUNCTION("""COMPUTED_VALUE"""),"ЧЕРНИГОВ")</f>
        <v>ЧЕРНИГОВ</v>
      </c>
      <c r="S151" t="str">
        <f ca="1">IFERROR(__xludf.DUMMYFUNCTION("""COMPUTED_VALUE"""),"07.08.21 10-50")</f>
        <v>07.08.21 10-50</v>
      </c>
      <c r="T151">
        <f ca="1">IFERROR(__xludf.DUMMYFUNCTION("""COMPUTED_VALUE"""),8691)</f>
        <v>8691</v>
      </c>
      <c r="U151" t="str">
        <f ca="1">IFERROR(__xludf.DUMMYFUNCTION("""COMPUTED_VALUE"""),"25.08.2022 КР")</f>
        <v>25.08.2022 КР</v>
      </c>
      <c r="Z151" t="str">
        <f ca="1">IFERROR(__xludf.DUMMYFUNCTION("""COMPUTED_VALUE"""),"ООО «БГС РЕЙЛ»")</f>
        <v>ООО «БГС РЕЙЛ»</v>
      </c>
      <c r="AA151" t="str">
        <f ca="1">IFERROR(__xludf.DUMMYFUNCTION("""COMPUTED_VALUE"""),"11-276")</f>
        <v>11-276</v>
      </c>
      <c r="AB151" t="str">
        <f ca="1">IFERROR(__xludf.DUMMYFUNCTION("""COMPUTED_VALUE"""),"48 ДОН")</f>
        <v>48 ДОН</v>
      </c>
      <c r="AC151" t="str">
        <f ca="1">IFERROR(__xludf.DUMMYFUNCTION("""COMPUTED_VALUE"""),"49480 СОЛЬ")</f>
        <v>49480 СОЛЬ</v>
      </c>
      <c r="AD151" t="str">
        <f ca="1">IFERROR(__xludf.DUMMYFUNCTION("""COMPUTED_VALUE"""),"07.10.20 22-03")</f>
        <v>07.10.20 22-03</v>
      </c>
      <c r="AE151" t="str">
        <f ca="1">IFERROR(__xludf.DUMMYFUNCTION("""COMPUTED_VALUE"""),"563")</f>
        <v>563</v>
      </c>
      <c r="AF151" t="str">
        <f ca="1">IFERROR(__xludf.DUMMYFUNCTION("""COMPUTED_VALUE"""),"48 ДОН")</f>
        <v>48 ДОН</v>
      </c>
      <c r="AG151" t="str">
        <f ca="1">IFERROR(__xludf.DUMMYFUNCTION("""COMPUTED_VALUE"""),"49480 СОЛЬ")</f>
        <v>49480 СОЛЬ</v>
      </c>
      <c r="AH151" t="str">
        <f ca="1">IFERROR(__xludf.DUMMYFUNCTION("""COMPUTED_VALUE"""),"09.10.20 13-00")</f>
        <v>09.10.20 13-00</v>
      </c>
      <c r="AI151" s="21">
        <f ca="1">IFERROR(__xludf.DUMMYFUNCTION("""COMPUTED_VALUE"""),44420.357662037)</f>
        <v>44420.357662037</v>
      </c>
    </row>
    <row r="152" spans="1:35" ht="13" x14ac:dyDescent="0.15">
      <c r="A152">
        <f ca="1">IFERROR(__xludf.DUMMYFUNCTION("""COMPUTED_VALUE"""),373)</f>
        <v>373</v>
      </c>
      <c r="B152" t="str">
        <f ca="1">IFERROR(__xludf.DUMMYFUNCTION("""COMPUTED_VALUE"""),"Кнауф")</f>
        <v>Кнауф</v>
      </c>
      <c r="C152" t="str">
        <f ca="1">IFERROR(__xludf.DUMMYFUNCTION("""COMPUTED_VALUE"""),"АССТРА РФ")</f>
        <v>АССТРА РФ</v>
      </c>
      <c r="D152">
        <f ca="1">IFERROR(__xludf.DUMMYFUNCTION("""COMPUTED_VALUE"""),52427101)</f>
        <v>52427101</v>
      </c>
      <c r="E152" t="str">
        <f ca="1">IFERROR(__xludf.DUMMYFUNCTION("""COMPUTED_VALUE"""),"20 КРЫТЫЕ")</f>
        <v>20 КРЫТЫЕ</v>
      </c>
      <c r="F152">
        <f ca="1">IFERROR(__xludf.DUMMYFUNCTION("""COMPUTED_VALUE"""),23304)</f>
        <v>23304</v>
      </c>
      <c r="G152" t="str">
        <f ca="1">IFERROR(__xludf.DUMMYFUNCTION("""COMPUTED_VALUE"""),"ГИПС ПР")</f>
        <v>ГИПС ПР</v>
      </c>
      <c r="H152">
        <f ca="1">IFERROR(__xludf.DUMMYFUNCTION("""COMPUTED_VALUE"""),68)</f>
        <v>68</v>
      </c>
      <c r="I152">
        <f ca="1">IFERROR(__xludf.DUMMYFUNCTION("""COMPUTED_VALUE"""),2567)</f>
        <v>2567</v>
      </c>
      <c r="J152" t="str">
        <f ca="1">IFERROR(__xludf.DUMMYFUNCTION("""COMPUTED_VALUE"""),"3601 (40000-416-40510) ОДЕССА-СОРТ - ОДЕССА-ЗАС I")</f>
        <v>3601 (40000-416-40510) ОДЕССА-СОРТ - ОДЕССА-ЗАС I</v>
      </c>
      <c r="K152">
        <f ca="1">IFERROR(__xludf.DUMMYFUNCTION("""COMPUTED_VALUE"""),40000)</f>
        <v>40000</v>
      </c>
      <c r="L152" t="str">
        <f ca="1">IFERROR(__xludf.DUMMYFUNCTION("""COMPUTED_VALUE"""),"ОДЕССА-СОРТ")</f>
        <v>ОДЕССА-СОРТ</v>
      </c>
      <c r="M152" t="str">
        <f ca="1">IFERROR(__xludf.DUMMYFUNCTION("""COMPUTED_VALUE"""),"12.08.21 05-42")</f>
        <v>12.08.21 05-42</v>
      </c>
      <c r="N152" t="str">
        <f ca="1">IFERROR(__xludf.DUMMYFUNCTION("""COMPUTED_VALUE"""),"05 ФОРМ")</f>
        <v>05 ФОРМ</v>
      </c>
      <c r="O152">
        <f ca="1">IFERROR(__xludf.DUMMYFUNCTION("""COMPUTED_VALUE"""),40510)</f>
        <v>40510</v>
      </c>
      <c r="P152" t="str">
        <f ca="1">IFERROR(__xludf.DUMMYFUNCTION("""COMPUTED_VALUE"""),"ОДЕССА-ЗАС I")</f>
        <v>ОДЕССА-ЗАС I</v>
      </c>
      <c r="Q152">
        <f ca="1">IFERROR(__xludf.DUMMYFUNCTION("""COMPUTED_VALUE"""),49620)</f>
        <v>49620</v>
      </c>
      <c r="R152" t="str">
        <f ca="1">IFERROR(__xludf.DUMMYFUNCTION("""COMPUTED_VALUE"""),"ДЕКОНСКАЯ")</f>
        <v>ДЕКОНСКАЯ</v>
      </c>
      <c r="S152" t="str">
        <f ca="1">IFERROR(__xludf.DUMMYFUNCTION("""COMPUTED_VALUE"""),"06.08.21 21-20")</f>
        <v>06.08.21 21-20</v>
      </c>
      <c r="T152">
        <f ca="1">IFERROR(__xludf.DUMMYFUNCTION("""COMPUTED_VALUE"""),4149)</f>
        <v>4149</v>
      </c>
      <c r="U152" t="str">
        <f ca="1">IFERROR(__xludf.DUMMYFUNCTION("""COMPUTED_VALUE"""),"01.02.2022 ТР-1")</f>
        <v>01.02.2022 ТР-1</v>
      </c>
      <c r="Z152" t="str">
        <f ca="1">IFERROR(__xludf.DUMMYFUNCTION("""COMPUTED_VALUE"""),"ООО «БГС РЕЙЛ»")</f>
        <v>ООО «БГС РЕЙЛ»</v>
      </c>
      <c r="AA152" t="str">
        <f ca="1">IFERROR(__xludf.DUMMYFUNCTION("""COMPUTED_VALUE"""),"11-270")</f>
        <v>11-270</v>
      </c>
      <c r="AB152" t="str">
        <f ca="1">IFERROR(__xludf.DUMMYFUNCTION("""COMPUTED_VALUE"""),"48 ДОН")</f>
        <v>48 ДОН</v>
      </c>
      <c r="AC152" t="str">
        <f ca="1">IFERROR(__xludf.DUMMYFUNCTION("""COMPUTED_VALUE"""),"49000 ЛИМАН")</f>
        <v>49000 ЛИМАН</v>
      </c>
      <c r="AD152" t="str">
        <f ca="1">IFERROR(__xludf.DUMMYFUNCTION("""COMPUTED_VALUE"""),"15.06.21 22-05")</f>
        <v>15.06.21 22-05</v>
      </c>
      <c r="AE152" t="str">
        <f ca="1">IFERROR(__xludf.DUMMYFUNCTION("""COMPUTED_VALUE"""),"537 НEИCПPAВНOCТЬ ЗAПOPA ДВEPИ")</f>
        <v>537 НEИCПPAВНOCТЬ ЗAПOPA ДВEPИ</v>
      </c>
      <c r="AF152" t="str">
        <f ca="1">IFERROR(__xludf.DUMMYFUNCTION("""COMPUTED_VALUE"""),"48 ДОН")</f>
        <v>48 ДОН</v>
      </c>
      <c r="AG152" t="str">
        <f ca="1">IFERROR(__xludf.DUMMYFUNCTION("""COMPUTED_VALUE"""),"49000 ЛИМАН")</f>
        <v>49000 ЛИМАН</v>
      </c>
      <c r="AH152" t="str">
        <f ca="1">IFERROR(__xludf.DUMMYFUNCTION("""COMPUTED_VALUE"""),"16.06.21 17-00")</f>
        <v>16.06.21 17-00</v>
      </c>
      <c r="AI152" s="21">
        <f ca="1">IFERROR(__xludf.DUMMYFUNCTION("""COMPUTED_VALUE"""),44420.357662037)</f>
        <v>44420.357662037</v>
      </c>
    </row>
    <row r="153" spans="1:35" ht="13" x14ac:dyDescent="0.15">
      <c r="A153">
        <f ca="1">IFERROR(__xludf.DUMMYFUNCTION("""COMPUTED_VALUE"""),374)</f>
        <v>374</v>
      </c>
      <c r="B153" t="str">
        <f ca="1">IFERROR(__xludf.DUMMYFUNCTION("""COMPUTED_VALUE"""),"Кнауф")</f>
        <v>Кнауф</v>
      </c>
      <c r="C153" t="str">
        <f ca="1">IFERROR(__xludf.DUMMYFUNCTION("""COMPUTED_VALUE"""),"АССТРА")</f>
        <v>АССТРА</v>
      </c>
      <c r="D153">
        <f ca="1">IFERROR(__xludf.DUMMYFUNCTION("""COMPUTED_VALUE"""),52425964)</f>
        <v>52425964</v>
      </c>
      <c r="E153" t="str">
        <f ca="1">IFERROR(__xludf.DUMMYFUNCTION("""COMPUTED_VALUE"""),"20 КРЫТЫЕ")</f>
        <v>20 КРЫТЫЕ</v>
      </c>
      <c r="F153">
        <f ca="1">IFERROR(__xludf.DUMMYFUNCTION("""COMPUTED_VALUE"""),42103)</f>
        <v>42103</v>
      </c>
      <c r="G153" t="str">
        <f ca="1">IFERROR(__xludf.DUMMYFUNCTION("""COMPUTED_VALUE"""),"ВАГОНЫ ЖД СВ")</f>
        <v>ВАГОНЫ ЖД СВ</v>
      </c>
      <c r="H153">
        <f ca="1">IFERROR(__xludf.DUMMYFUNCTION("""COMPUTED_VALUE"""),0)</f>
        <v>0</v>
      </c>
      <c r="I153">
        <f ca="1">IFERROR(__xludf.DUMMYFUNCTION("""COMPUTED_VALUE"""),4149)</f>
        <v>4149</v>
      </c>
      <c r="J153" t="str">
        <f ca="1">IFERROR(__xludf.DUMMYFUNCTION("""COMPUTED_VALUE"""),"2284 (45000-397-49000) НИЖНЕДН-УЗЕЛ - ЛИМАН")</f>
        <v>2284 (45000-397-49000) НИЖНЕДН-УЗЕЛ - ЛИМАН</v>
      </c>
      <c r="K153">
        <f ca="1">IFERROR(__xludf.DUMMYFUNCTION("""COMPUTED_VALUE"""),49000)</f>
        <v>49000</v>
      </c>
      <c r="L153" t="str">
        <f ca="1">IFERROR(__xludf.DUMMYFUNCTION("""COMPUTED_VALUE"""),"ЛИМАН")</f>
        <v>ЛИМАН</v>
      </c>
      <c r="M153" t="str">
        <f ca="1">IFERROR(__xludf.DUMMYFUNCTION("""COMPUTED_VALUE"""),"12.08.21 03-21")</f>
        <v>12.08.21 03-21</v>
      </c>
      <c r="N153" t="str">
        <f ca="1">IFERROR(__xludf.DUMMYFUNCTION("""COMPUTED_VALUE"""),"04 РАСФ")</f>
        <v>04 РАСФ</v>
      </c>
      <c r="O153">
        <f ca="1">IFERROR(__xludf.DUMMYFUNCTION("""COMPUTED_VALUE"""),49620)</f>
        <v>49620</v>
      </c>
      <c r="P153" t="str">
        <f ca="1">IFERROR(__xludf.DUMMYFUNCTION("""COMPUTED_VALUE"""),"ДЕКОНСКАЯ")</f>
        <v>ДЕКОНСКАЯ</v>
      </c>
      <c r="Q153">
        <f ca="1">IFERROR(__xludf.DUMMYFUNCTION("""COMPUTED_VALUE"""),33580)</f>
        <v>33580</v>
      </c>
      <c r="R153" t="str">
        <f ca="1">IFERROR(__xludf.DUMMYFUNCTION("""COMPUTED_VALUE"""),"ВИННИЦА")</f>
        <v>ВИННИЦА</v>
      </c>
      <c r="S153" t="str">
        <f ca="1">IFERROR(__xludf.DUMMYFUNCTION("""COMPUTED_VALUE"""),"03.08.21 17-30")</f>
        <v>03.08.21 17-30</v>
      </c>
      <c r="T153">
        <f ca="1">IFERROR(__xludf.DUMMYFUNCTION("""COMPUTED_VALUE"""),4969)</f>
        <v>4969</v>
      </c>
      <c r="U153" t="str">
        <f ca="1">IFERROR(__xludf.DUMMYFUNCTION("""COMPUTED_VALUE"""),"08.04.2023 ДР")</f>
        <v>08.04.2023 ДР</v>
      </c>
      <c r="Z153" t="str">
        <f ca="1">IFERROR(__xludf.DUMMYFUNCTION("""COMPUTED_VALUE"""),"ООО «БГС РЕЙЛ»")</f>
        <v>ООО «БГС РЕЙЛ»</v>
      </c>
      <c r="AA153" t="str">
        <f ca="1">IFERROR(__xludf.DUMMYFUNCTION("""COMPUTED_VALUE"""),"11-270")</f>
        <v>11-270</v>
      </c>
      <c r="AB153" t="str">
        <f ca="1">IFERROR(__xludf.DUMMYFUNCTION("""COMPUTED_VALUE"""),"48 ДОН")</f>
        <v>48 ДОН</v>
      </c>
      <c r="AC153" t="str">
        <f ca="1">IFERROR(__xludf.DUMMYFUNCTION("""COMPUTED_VALUE"""),"49480 СОЛЬ")</f>
        <v>49480 СОЛЬ</v>
      </c>
      <c r="AD153" t="str">
        <f ca="1">IFERROR(__xludf.DUMMYFUNCTION("""COMPUTED_VALUE"""),"07.07.20 20-10")</f>
        <v>07.07.20 20-10</v>
      </c>
      <c r="AE153" t="str">
        <f ca="1">IFERROR(__xludf.DUMMYFUNCTION("""COMPUTED_VALUE"""),"910 OТCУТCТВИE ПАСПОРТА ФOPМЫ ВУ-4М")</f>
        <v>910 OТCУТCТВИE ПАСПОРТА ФOPМЫ ВУ-4М</v>
      </c>
      <c r="AF153" t="str">
        <f ca="1">IFERROR(__xludf.DUMMYFUNCTION("""COMPUTED_VALUE"""),"48 ДОН")</f>
        <v>48 ДОН</v>
      </c>
      <c r="AG153" t="str">
        <f ca="1">IFERROR(__xludf.DUMMYFUNCTION("""COMPUTED_VALUE"""),"49480 СОЛЬ")</f>
        <v>49480 СОЛЬ</v>
      </c>
      <c r="AH153" t="str">
        <f ca="1">IFERROR(__xludf.DUMMYFUNCTION("""COMPUTED_VALUE"""),"11.08.20 16-30")</f>
        <v>11.08.20 16-30</v>
      </c>
      <c r="AI153" s="21">
        <f ca="1">IFERROR(__xludf.DUMMYFUNCTION("""COMPUTED_VALUE"""),44420.357662037)</f>
        <v>44420.357662037</v>
      </c>
    </row>
    <row r="154" spans="1:35" ht="13" x14ac:dyDescent="0.15">
      <c r="A154">
        <f ca="1">IFERROR(__xludf.DUMMYFUNCTION("""COMPUTED_VALUE"""),375)</f>
        <v>375</v>
      </c>
      <c r="B154" t="str">
        <f ca="1">IFERROR(__xludf.DUMMYFUNCTION("""COMPUTED_VALUE"""),"Кнауф")</f>
        <v>Кнауф</v>
      </c>
      <c r="C154" t="str">
        <f ca="1">IFERROR(__xludf.DUMMYFUNCTION("""COMPUTED_VALUE"""),"АССТРА")</f>
        <v>АССТРА</v>
      </c>
      <c r="D154">
        <f ca="1">IFERROR(__xludf.DUMMYFUNCTION("""COMPUTED_VALUE"""),52425949)</f>
        <v>52425949</v>
      </c>
      <c r="E154" t="str">
        <f ca="1">IFERROR(__xludf.DUMMYFUNCTION("""COMPUTED_VALUE"""),"20 КРЫТЫЕ")</f>
        <v>20 КРЫТЫЕ</v>
      </c>
      <c r="F154">
        <f ca="1">IFERROR(__xludf.DUMMYFUNCTION("""COMPUTED_VALUE"""),28114)</f>
        <v>28114</v>
      </c>
      <c r="G154" t="str">
        <f ca="1">IFERROR(__xludf.DUMMYFUNCTION("""COMPUTED_VALUE"""),"ЦЕМЕНТ ПР")</f>
        <v>ЦЕМЕНТ ПР</v>
      </c>
      <c r="H154">
        <f ca="1">IFERROR(__xludf.DUMMYFUNCTION("""COMPUTED_VALUE"""),68)</f>
        <v>68</v>
      </c>
      <c r="I154">
        <f ca="1">IFERROR(__xludf.DUMMYFUNCTION("""COMPUTED_VALUE"""),2976)</f>
        <v>2976</v>
      </c>
      <c r="J154" t="str">
        <f ca="1">IFERROR(__xludf.DUMMYFUNCTION("""COMPUTED_VALUE"""),"3001 (49000-786-49200) ЛИМАН - СЛАВЯНСК")</f>
        <v>3001 (49000-786-49200) ЛИМАН - СЛАВЯНСК</v>
      </c>
      <c r="K154">
        <f ca="1">IFERROR(__xludf.DUMMYFUNCTION("""COMPUTED_VALUE"""),49000)</f>
        <v>49000</v>
      </c>
      <c r="L154" t="str">
        <f ca="1">IFERROR(__xludf.DUMMYFUNCTION("""COMPUTED_VALUE"""),"ЛИМАН")</f>
        <v>ЛИМАН</v>
      </c>
      <c r="M154" t="str">
        <f ca="1">IFERROR(__xludf.DUMMYFUNCTION("""COMPUTED_VALUE"""),"12.08.21 07-17")</f>
        <v>12.08.21 07-17</v>
      </c>
      <c r="N154" t="str">
        <f ca="1">IFERROR(__xludf.DUMMYFUNCTION("""COMPUTED_VALUE"""),"05 ФОРМ")</f>
        <v>05 ФОРМ</v>
      </c>
      <c r="O154">
        <f ca="1">IFERROR(__xludf.DUMMYFUNCTION("""COMPUTED_VALUE"""),49200)</f>
        <v>49200</v>
      </c>
      <c r="P154" t="str">
        <f ca="1">IFERROR(__xludf.DUMMYFUNCTION("""COMPUTED_VALUE"""),"СЛАВЯНСК")</f>
        <v>СЛАВЯНСК</v>
      </c>
      <c r="Q154">
        <f ca="1">IFERROR(__xludf.DUMMYFUNCTION("""COMPUTED_VALUE"""),45590)</f>
        <v>45590</v>
      </c>
      <c r="R154" t="str">
        <f ca="1">IFERROR(__xludf.DUMMYFUNCTION("""COMPUTED_VALUE"""),"ТРИТУЗНАЯ")</f>
        <v>ТРИТУЗНАЯ</v>
      </c>
      <c r="S154" t="str">
        <f ca="1">IFERROR(__xludf.DUMMYFUNCTION("""COMPUTED_VALUE"""),"08.08.21 17-50")</f>
        <v>08.08.21 17-50</v>
      </c>
      <c r="T154">
        <f ca="1">IFERROR(__xludf.DUMMYFUNCTION("""COMPUTED_VALUE"""),5620)</f>
        <v>5620</v>
      </c>
      <c r="U154" t="str">
        <f ca="1">IFERROR(__xludf.DUMMYFUNCTION("""COMPUTED_VALUE"""),"18.09.2022 ДР")</f>
        <v>18.09.2022 ДР</v>
      </c>
      <c r="Z154" t="str">
        <f ca="1">IFERROR(__xludf.DUMMYFUNCTION("""COMPUTED_VALUE"""),"ООО «БГС РЕЙЛ»")</f>
        <v>ООО «БГС РЕЙЛ»</v>
      </c>
      <c r="AA154" t="str">
        <f ca="1">IFERROR(__xludf.DUMMYFUNCTION("""COMPUTED_VALUE"""),"11-270")</f>
        <v>11-270</v>
      </c>
      <c r="AB154" t="str">
        <f ca="1">IFERROR(__xludf.DUMMYFUNCTION("""COMPUTED_VALUE"""),"48 ДОН")</f>
        <v>48 ДОН</v>
      </c>
      <c r="AC154" t="str">
        <f ca="1">IFERROR(__xludf.DUMMYFUNCTION("""COMPUTED_VALUE"""),"49480 СОЛЬ")</f>
        <v>49480 СОЛЬ</v>
      </c>
      <c r="AD154" t="str">
        <f ca="1">IFERROR(__xludf.DUMMYFUNCTION("""COMPUTED_VALUE"""),"12.05.21 05-10")</f>
        <v>12.05.21 05-10</v>
      </c>
      <c r="AE154" t="str">
        <f ca="1">IFERROR(__xludf.DUMMYFUNCTION("""COMPUTED_VALUE"""),"537 НEИCПPAВНOCТЬ ЗAПOPA ДВEPИ")</f>
        <v>537 НEИCПPAВНOCТЬ ЗAПOPA ДВEPИ</v>
      </c>
      <c r="AF154" t="str">
        <f ca="1">IFERROR(__xludf.DUMMYFUNCTION("""COMPUTED_VALUE"""),"48 ДОН")</f>
        <v>48 ДОН</v>
      </c>
      <c r="AG154" t="str">
        <f ca="1">IFERROR(__xludf.DUMMYFUNCTION("""COMPUTED_VALUE"""),"49480 СОЛЬ")</f>
        <v>49480 СОЛЬ</v>
      </c>
      <c r="AH154" t="str">
        <f ca="1">IFERROR(__xludf.DUMMYFUNCTION("""COMPUTED_VALUE"""),"14.05.21 16-00")</f>
        <v>14.05.21 16-00</v>
      </c>
      <c r="AI154" s="21">
        <f ca="1">IFERROR(__xludf.DUMMYFUNCTION("""COMPUTED_VALUE"""),44420.357662037)</f>
        <v>44420.357662037</v>
      </c>
    </row>
    <row r="155" spans="1:35" ht="13" x14ac:dyDescent="0.15">
      <c r="A155">
        <f ca="1">IFERROR(__xludf.DUMMYFUNCTION("""COMPUTED_VALUE"""),376)</f>
        <v>376</v>
      </c>
      <c r="B155" t="str">
        <f ca="1">IFERROR(__xludf.DUMMYFUNCTION("""COMPUTED_VALUE"""),"Кнауф")</f>
        <v>Кнауф</v>
      </c>
      <c r="C155" t="str">
        <f ca="1">IFERROR(__xludf.DUMMYFUNCTION("""COMPUTED_VALUE"""),"АССТРА РФ")</f>
        <v>АССТРА РФ</v>
      </c>
      <c r="D155">
        <f ca="1">IFERROR(__xludf.DUMMYFUNCTION("""COMPUTED_VALUE"""),52411030)</f>
        <v>52411030</v>
      </c>
      <c r="E155" t="str">
        <f ca="1">IFERROR(__xludf.DUMMYFUNCTION("""COMPUTED_VALUE"""),"20 КРЫТЫЕ")</f>
        <v>20 КРЫТЫЕ</v>
      </c>
      <c r="F155">
        <f ca="1">IFERROR(__xludf.DUMMYFUNCTION("""COMPUTED_VALUE"""),42103)</f>
        <v>42103</v>
      </c>
      <c r="G155" t="str">
        <f ca="1">IFERROR(__xludf.DUMMYFUNCTION("""COMPUTED_VALUE"""),"ВАГОНЫ ЖД СВ")</f>
        <v>ВАГОНЫ ЖД СВ</v>
      </c>
      <c r="H155">
        <f ca="1">IFERROR(__xludf.DUMMYFUNCTION("""COMPUTED_VALUE"""),0)</f>
        <v>0</v>
      </c>
      <c r="I155">
        <f ca="1">IFERROR(__xludf.DUMMYFUNCTION("""COMPUTED_VALUE"""),8199)</f>
        <v>8199</v>
      </c>
      <c r="J155" t="str">
        <f ca="1">IFERROR(__xludf.DUMMYFUNCTION("""COMPUTED_VALUE"""),"1111 (38840-016-38830) ИВАНО-ФРАНК - ЯМНИЦА")</f>
        <v>1111 (38840-016-38830) ИВАНО-ФРАНК - ЯМНИЦА</v>
      </c>
      <c r="K155">
        <f ca="1">IFERROR(__xludf.DUMMYFUNCTION("""COMPUTED_VALUE"""),38830)</f>
        <v>38830</v>
      </c>
      <c r="L155" t="str">
        <f ca="1">IFERROR(__xludf.DUMMYFUNCTION("""COMPUTED_VALUE"""),"ЯМНИЦА")</f>
        <v>ЯМНИЦА</v>
      </c>
      <c r="M155" t="str">
        <f ca="1">IFERROR(__xludf.DUMMYFUNCTION("""COMPUTED_VALUE"""),"11.08.21 04-00")</f>
        <v>11.08.21 04-00</v>
      </c>
      <c r="N155" t="str">
        <f ca="1">IFERROR(__xludf.DUMMYFUNCTION("""COMPUTED_VALUE"""),"98 ОТОТ")</f>
        <v>98 ОТОТ</v>
      </c>
      <c r="O155">
        <f ca="1">IFERROR(__xludf.DUMMYFUNCTION("""COMPUTED_VALUE"""),38830)</f>
        <v>38830</v>
      </c>
      <c r="P155" t="str">
        <f ca="1">IFERROR(__xludf.DUMMYFUNCTION("""COMPUTED_VALUE"""),"ЯМНИЦА")</f>
        <v>ЯМНИЦА</v>
      </c>
      <c r="Q155">
        <f ca="1">IFERROR(__xludf.DUMMYFUNCTION("""COMPUTED_VALUE"""),38840)</f>
        <v>38840</v>
      </c>
      <c r="R155" t="str">
        <f ca="1">IFERROR(__xludf.DUMMYFUNCTION("""COMPUTED_VALUE"""),"ИВАНО-ФРАНК")</f>
        <v>ИВАНО-ФРАНК</v>
      </c>
      <c r="S155" t="str">
        <f ca="1">IFERROR(__xludf.DUMMYFUNCTION("""COMPUTED_VALUE"""),"08.08.21 16-00")</f>
        <v>08.08.21 16-00</v>
      </c>
      <c r="T155">
        <f ca="1">IFERROR(__xludf.DUMMYFUNCTION("""COMPUTED_VALUE"""),8200)</f>
        <v>8200</v>
      </c>
      <c r="U155" t="str">
        <f ca="1">IFERROR(__xludf.DUMMYFUNCTION("""COMPUTED_VALUE"""),"16.07.2022 ДР")</f>
        <v>16.07.2022 ДР</v>
      </c>
      <c r="Z155" t="str">
        <f ca="1">IFERROR(__xludf.DUMMYFUNCTION("""COMPUTED_VALUE"""),"ООО «БГС РЕЙЛ»")</f>
        <v>ООО «БГС РЕЙЛ»</v>
      </c>
      <c r="AA155" t="str">
        <f ca="1">IFERROR(__xludf.DUMMYFUNCTION("""COMPUTED_VALUE"""),"11-270")</f>
        <v>11-270</v>
      </c>
      <c r="AB155" t="str">
        <f ca="1">IFERROR(__xludf.DUMMYFUNCTION("""COMPUTED_VALUE"""),"32 Ю-ЗАП")</f>
        <v>32 Ю-ЗАП</v>
      </c>
      <c r="AC155" t="str">
        <f ca="1">IFERROR(__xludf.DUMMYFUNCTION("""COMPUTED_VALUE"""),"32000 ДАРНИЦА")</f>
        <v>32000 ДАРНИЦА</v>
      </c>
      <c r="AD155" t="str">
        <f ca="1">IFERROR(__xludf.DUMMYFUNCTION("""COMPUTED_VALUE"""),"14.07.21 16-58")</f>
        <v>14.07.21 16-58</v>
      </c>
      <c r="AE155" t="str">
        <f ca="1">IFERROR(__xludf.DUMMYFUNCTION("""COMPUTED_VALUE"""),"537 НEИCПPAВНOCТЬ ЗAПOPA ДВEPИ")</f>
        <v>537 НEИCПPAВНOCТЬ ЗAПOPA ДВEPИ</v>
      </c>
      <c r="AF155" t="str">
        <f ca="1">IFERROR(__xludf.DUMMYFUNCTION("""COMPUTED_VALUE"""),"32 Ю-ЗАП")</f>
        <v>32 Ю-ЗАП</v>
      </c>
      <c r="AG155" t="str">
        <f ca="1">IFERROR(__xludf.DUMMYFUNCTION("""COMPUTED_VALUE"""),"32000 ДАРНИЦА")</f>
        <v>32000 ДАРНИЦА</v>
      </c>
      <c r="AH155" t="str">
        <f ca="1">IFERROR(__xludf.DUMMYFUNCTION("""COMPUTED_VALUE"""),"21.07.21 13-05")</f>
        <v>21.07.21 13-05</v>
      </c>
      <c r="AI155" s="21">
        <f ca="1">IFERROR(__xludf.DUMMYFUNCTION("""COMPUTED_VALUE"""),44420.357662037)</f>
        <v>44420.357662037</v>
      </c>
    </row>
    <row r="156" spans="1:35" ht="13" x14ac:dyDescent="0.15">
      <c r="A156">
        <f ca="1">IFERROR(__xludf.DUMMYFUNCTION("""COMPUTED_VALUE"""),377)</f>
        <v>377</v>
      </c>
      <c r="B156" t="str">
        <f ca="1">IFERROR(__xludf.DUMMYFUNCTION("""COMPUTED_VALUE"""),"Кнауф")</f>
        <v>Кнауф</v>
      </c>
      <c r="C156" t="str">
        <f ca="1">IFERROR(__xludf.DUMMYFUNCTION("""COMPUTED_VALUE"""),"АССТРА")</f>
        <v>АССТРА</v>
      </c>
      <c r="D156">
        <f ca="1">IFERROR(__xludf.DUMMYFUNCTION("""COMPUTED_VALUE"""),52142726)</f>
        <v>52142726</v>
      </c>
      <c r="E156" t="str">
        <f ca="1">IFERROR(__xludf.DUMMYFUNCTION("""COMPUTED_VALUE"""),"28 КРЫТЫЕ_138")</f>
        <v>28 КРЫТЫЕ_138</v>
      </c>
      <c r="F156">
        <f ca="1">IFERROR(__xludf.DUMMYFUNCTION("""COMPUTED_VALUE"""),42103)</f>
        <v>42103</v>
      </c>
      <c r="G156" t="str">
        <f ca="1">IFERROR(__xludf.DUMMYFUNCTION("""COMPUTED_VALUE"""),"ВАГОНЫ ЖД СВ")</f>
        <v>ВАГОНЫ ЖД СВ</v>
      </c>
      <c r="H156">
        <f ca="1">IFERROR(__xludf.DUMMYFUNCTION("""COMPUTED_VALUE"""),0)</f>
        <v>0</v>
      </c>
      <c r="I156">
        <f ca="1">IFERROR(__xludf.DUMMYFUNCTION("""COMPUTED_VALUE"""),8199)</f>
        <v>8199</v>
      </c>
      <c r="J156" t="str">
        <f ca="1">IFERROR(__xludf.DUMMYFUNCTION("""COMPUTED_VALUE"""),"2835 (35000-010-37040) ЗДОЛБУНОВ - КЛЕПАРОВ")</f>
        <v>2835 (35000-010-37040) ЗДОЛБУНОВ - КЛЕПАРОВ</v>
      </c>
      <c r="K156">
        <f ca="1">IFERROR(__xludf.DUMMYFUNCTION("""COMPUTED_VALUE"""),37040)</f>
        <v>37040</v>
      </c>
      <c r="L156" t="str">
        <f ca="1">IFERROR(__xludf.DUMMYFUNCTION("""COMPUTED_VALUE"""),"КЛЕПАРОВ")</f>
        <v>КЛЕПАРОВ</v>
      </c>
      <c r="M156" t="str">
        <f ca="1">IFERROR(__xludf.DUMMYFUNCTION("""COMPUTED_VALUE"""),"11.08.21 22-23")</f>
        <v>11.08.21 22-23</v>
      </c>
      <c r="N156" t="str">
        <f ca="1">IFERROR(__xludf.DUMMYFUNCTION("""COMPUTED_VALUE"""),"04 РАСФ")</f>
        <v>04 РАСФ</v>
      </c>
      <c r="O156">
        <f ca="1">IFERROR(__xludf.DUMMYFUNCTION("""COMPUTED_VALUE"""),38830)</f>
        <v>38830</v>
      </c>
      <c r="P156" t="str">
        <f ca="1">IFERROR(__xludf.DUMMYFUNCTION("""COMPUTED_VALUE"""),"ЯМНИЦА")</f>
        <v>ЯМНИЦА</v>
      </c>
      <c r="Q156">
        <f ca="1">IFERROR(__xludf.DUMMYFUNCTION("""COMPUTED_VALUE"""),35660)</f>
        <v>35660</v>
      </c>
      <c r="R156" t="str">
        <f ca="1">IFERROR(__xludf.DUMMYFUNCTION("""COMPUTED_VALUE"""),"РОВНО")</f>
        <v>РОВНО</v>
      </c>
      <c r="S156" t="str">
        <f ca="1">IFERROR(__xludf.DUMMYFUNCTION("""COMPUTED_VALUE"""),"05.08.21 16-00")</f>
        <v>05.08.21 16-00</v>
      </c>
      <c r="T156">
        <f ca="1">IFERROR(__xludf.DUMMYFUNCTION("""COMPUTED_VALUE"""),8200)</f>
        <v>8200</v>
      </c>
      <c r="U156" t="str">
        <f ca="1">IFERROR(__xludf.DUMMYFUNCTION("""COMPUTED_VALUE"""),"23.11.2022 КР")</f>
        <v>23.11.2022 КР</v>
      </c>
      <c r="Z156" t="str">
        <f ca="1">IFERROR(__xludf.DUMMYFUNCTION("""COMPUTED_VALUE"""),"ООО «БГС РЕЙЛ»")</f>
        <v>ООО «БГС РЕЙЛ»</v>
      </c>
      <c r="AA156" t="str">
        <f ca="1">IFERROR(__xludf.DUMMYFUNCTION("""COMPUTED_VALUE"""),"11-286")</f>
        <v>11-286</v>
      </c>
      <c r="AB156" t="str">
        <f ca="1">IFERROR(__xludf.DUMMYFUNCTION("""COMPUTED_VALUE"""),"48 ДОН")</f>
        <v>48 ДОН</v>
      </c>
      <c r="AC156" t="str">
        <f ca="1">IFERROR(__xludf.DUMMYFUNCTION("""COMPUTED_VALUE"""),"49480 СОЛЬ")</f>
        <v>49480 СОЛЬ</v>
      </c>
      <c r="AD156" t="str">
        <f ca="1">IFERROR(__xludf.DUMMYFUNCTION("""COMPUTED_VALUE"""),"19.06.20 09-15")</f>
        <v>19.06.20 09-15</v>
      </c>
      <c r="AE156" t="str">
        <f ca="1">IFERROR(__xludf.DUMMYFUNCTION("""COMPUTED_VALUE"""),"563")</f>
        <v>563</v>
      </c>
      <c r="AF156" t="str">
        <f ca="1">IFERROR(__xludf.DUMMYFUNCTION("""COMPUTED_VALUE"""),"48 ДОН")</f>
        <v>48 ДОН</v>
      </c>
      <c r="AG156" t="str">
        <f ca="1">IFERROR(__xludf.DUMMYFUNCTION("""COMPUTED_VALUE"""),"49480 СОЛЬ")</f>
        <v>49480 СОЛЬ</v>
      </c>
      <c r="AH156" t="str">
        <f ca="1">IFERROR(__xludf.DUMMYFUNCTION("""COMPUTED_VALUE"""),"22.06.20 16-00")</f>
        <v>22.06.20 16-00</v>
      </c>
      <c r="AI156" s="21">
        <f ca="1">IFERROR(__xludf.DUMMYFUNCTION("""COMPUTED_VALUE"""),44420.357662037)</f>
        <v>44420.357662037</v>
      </c>
    </row>
    <row r="157" spans="1:35" ht="13" x14ac:dyDescent="0.15">
      <c r="A157">
        <f ca="1">IFERROR(__xludf.DUMMYFUNCTION("""COMPUTED_VALUE"""),378)</f>
        <v>378</v>
      </c>
      <c r="B157" t="str">
        <f ca="1">IFERROR(__xludf.DUMMYFUNCTION("""COMPUTED_VALUE"""),"Кнауф")</f>
        <v>Кнауф</v>
      </c>
      <c r="C157" t="str">
        <f ca="1">IFERROR(__xludf.DUMMYFUNCTION("""COMPUTED_VALUE"""),"АССТРА РФ")</f>
        <v>АССТРА РФ</v>
      </c>
      <c r="D157">
        <f ca="1">IFERROR(__xludf.DUMMYFUNCTION("""COMPUTED_VALUE"""),52034816)</f>
        <v>52034816</v>
      </c>
      <c r="E157" t="str">
        <f ca="1">IFERROR(__xludf.DUMMYFUNCTION("""COMPUTED_VALUE"""),"20 КРЫТЫЕ")</f>
        <v>20 КРЫТЫЕ</v>
      </c>
      <c r="F157">
        <f ca="1">IFERROR(__xludf.DUMMYFUNCTION("""COMPUTED_VALUE"""),42103)</f>
        <v>42103</v>
      </c>
      <c r="G157" t="str">
        <f ca="1">IFERROR(__xludf.DUMMYFUNCTION("""COMPUTED_VALUE"""),"ВАГОНЫ ЖД СВ")</f>
        <v>ВАГОНЫ ЖД СВ</v>
      </c>
      <c r="H157">
        <f ca="1">IFERROR(__xludf.DUMMYFUNCTION("""COMPUTED_VALUE"""),0)</f>
        <v>0</v>
      </c>
      <c r="I157">
        <f ca="1">IFERROR(__xludf.DUMMYFUNCTION("""COMPUTED_VALUE"""),5163)</f>
        <v>5163</v>
      </c>
      <c r="J157" t="str">
        <f ca="1">IFERROR(__xludf.DUMMYFUNCTION("""COMPUTED_VALUE"""),"5555 (44020-279-00070) ОСНОВА -")</f>
        <v>5555 (44020-279-00070) ОСНОВА -</v>
      </c>
      <c r="K157">
        <f ca="1">IFERROR(__xludf.DUMMYFUNCTION("""COMPUTED_VALUE"""),44020)</f>
        <v>44020</v>
      </c>
      <c r="L157" t="str">
        <f ca="1">IFERROR(__xludf.DUMMYFUNCTION("""COMPUTED_VALUE"""),"ОСНОВА")</f>
        <v>ОСНОВА</v>
      </c>
      <c r="M157" t="str">
        <f ca="1">IFERROR(__xludf.DUMMYFUNCTION("""COMPUTED_VALUE"""),"11.08.21 19-14")</f>
        <v>11.08.21 19-14</v>
      </c>
      <c r="N157" t="str">
        <f ca="1">IFERROR(__xludf.DUMMYFUNCTION("""COMPUTED_VALUE"""),"05 ФОРМ")</f>
        <v>05 ФОРМ</v>
      </c>
      <c r="O157">
        <f ca="1">IFERROR(__xludf.DUMMYFUNCTION("""COMPUTED_VALUE"""),49050)</f>
        <v>49050</v>
      </c>
      <c r="P157" t="str">
        <f ca="1">IFERROR(__xludf.DUMMYFUNCTION("""COMPUTED_VALUE"""),"ИМ.КОЖУШКО")</f>
        <v>ИМ.КОЖУШКО</v>
      </c>
      <c r="Q157">
        <f ca="1">IFERROR(__xludf.DUMMYFUNCTION("""COMPUTED_VALUE"""),44050)</f>
        <v>44050</v>
      </c>
      <c r="R157" t="str">
        <f ca="1">IFERROR(__xludf.DUMMYFUNCTION("""COMPUTED_VALUE"""),"ХАРЬКОВ-БАЛ")</f>
        <v>ХАРЬКОВ-БАЛ</v>
      </c>
      <c r="S157" t="str">
        <f ca="1">IFERROR(__xludf.DUMMYFUNCTION("""COMPUTED_VALUE"""),"02.08.21 17-00")</f>
        <v>02.08.21 17-00</v>
      </c>
      <c r="T157">
        <f ca="1">IFERROR(__xludf.DUMMYFUNCTION("""COMPUTED_VALUE"""),2297)</f>
        <v>2297</v>
      </c>
      <c r="U157" t="str">
        <f ca="1">IFERROR(__xludf.DUMMYFUNCTION("""COMPUTED_VALUE"""),"05.10.2023 КР")</f>
        <v>05.10.2023 КР</v>
      </c>
      <c r="Z157" t="str">
        <f ca="1">IFERROR(__xludf.DUMMYFUNCTION("""COMPUTED_VALUE"""),"ООО «БГС РЕЙЛ»")</f>
        <v>ООО «БГС РЕЙЛ»</v>
      </c>
      <c r="AA157" t="str">
        <f ca="1">IFERROR(__xludf.DUMMYFUNCTION("""COMPUTED_VALUE"""),"11-276")</f>
        <v>11-276</v>
      </c>
      <c r="AB157" t="str">
        <f ca="1">IFERROR(__xludf.DUMMYFUNCTION("""COMPUTED_VALUE"""),"43 ЮЖН")</f>
        <v>43 ЮЖН</v>
      </c>
      <c r="AC157" t="str">
        <f ca="1">IFERROR(__xludf.DUMMYFUNCTION("""COMPUTED_VALUE"""),"44020 ОСНОВА")</f>
        <v>44020 ОСНОВА</v>
      </c>
      <c r="AD157" t="str">
        <f ca="1">IFERROR(__xludf.DUMMYFUNCTION("""COMPUTED_VALUE"""),"24.06.21 09-43")</f>
        <v>24.06.21 09-43</v>
      </c>
      <c r="AE157" t="str">
        <f ca="1">IFERROR(__xludf.DUMMYFUNCTION("""COMPUTED_VALUE"""),"537 НEИCПPAВНOCТЬ ЗAПOPA ДВEPИ")</f>
        <v>537 НEИCПPAВНOCТЬ ЗAПOPA ДВEPИ</v>
      </c>
      <c r="AF157" t="str">
        <f ca="1">IFERROR(__xludf.DUMMYFUNCTION("""COMPUTED_VALUE"""),"43 ЮЖН")</f>
        <v>43 ЮЖН</v>
      </c>
      <c r="AG157" t="str">
        <f ca="1">IFERROR(__xludf.DUMMYFUNCTION("""COMPUTED_VALUE"""),"44020 ОСНОВА")</f>
        <v>44020 ОСНОВА</v>
      </c>
      <c r="AH157" t="str">
        <f ca="1">IFERROR(__xludf.DUMMYFUNCTION("""COMPUTED_VALUE"""),"25.06.21 16-00")</f>
        <v>25.06.21 16-00</v>
      </c>
      <c r="AI157" s="21">
        <f ca="1">IFERROR(__xludf.DUMMYFUNCTION("""COMPUTED_VALUE"""),44420.357662037)</f>
        <v>44420.357662037</v>
      </c>
    </row>
    <row r="158" spans="1:35" ht="13" x14ac:dyDescent="0.15">
      <c r="A158">
        <f ca="1">IFERROR(__xludf.DUMMYFUNCTION("""COMPUTED_VALUE"""),379)</f>
        <v>379</v>
      </c>
      <c r="B158" t="str">
        <f ca="1">IFERROR(__xludf.DUMMYFUNCTION("""COMPUTED_VALUE"""),"Кнауф")</f>
        <v>Кнауф</v>
      </c>
      <c r="C158" t="str">
        <f ca="1">IFERROR(__xludf.DUMMYFUNCTION("""COMPUTED_VALUE"""),"АССТРА РФ")</f>
        <v>АССТРА РФ</v>
      </c>
      <c r="D158">
        <f ca="1">IFERROR(__xludf.DUMMYFUNCTION("""COMPUTED_VALUE"""),52538998)</f>
        <v>52538998</v>
      </c>
      <c r="E158" t="str">
        <f ca="1">IFERROR(__xludf.DUMMYFUNCTION("""COMPUTED_VALUE"""),"20 КРЫТЫЕ")</f>
        <v>20 КРЫТЫЕ</v>
      </c>
      <c r="F158">
        <f ca="1">IFERROR(__xludf.DUMMYFUNCTION("""COMPUTED_VALUE"""),42103)</f>
        <v>42103</v>
      </c>
      <c r="G158" t="str">
        <f ca="1">IFERROR(__xludf.DUMMYFUNCTION("""COMPUTED_VALUE"""),"ВАГОНЫ ЖД СВ")</f>
        <v>ВАГОНЫ ЖД СВ</v>
      </c>
      <c r="H158">
        <f ca="1">IFERROR(__xludf.DUMMYFUNCTION("""COMPUTED_VALUE"""),0)</f>
        <v>0</v>
      </c>
      <c r="I158">
        <f ca="1">IFERROR(__xludf.DUMMYFUNCTION("""COMPUTED_VALUE"""),4149)</f>
        <v>4149</v>
      </c>
      <c r="J158" t="str">
        <f ca="1">IFERROR(__xludf.DUMMYFUNCTION("""COMPUTED_VALUE"""),"2831 (44020-300-49000) ОСНОВА - ЛИМАН")</f>
        <v>2831 (44020-300-49000) ОСНОВА - ЛИМАН</v>
      </c>
      <c r="K158">
        <f ca="1">IFERROR(__xludf.DUMMYFUNCTION("""COMPUTED_VALUE"""),49005)</f>
        <v>49005</v>
      </c>
      <c r="L158" t="str">
        <f ca="1">IFERROR(__xludf.DUMMYFUNCTION("""COMPUTED_VALUE"""),"ФОРПОСТНАЯ")</f>
        <v>ФОРПОСТНАЯ</v>
      </c>
      <c r="M158" t="str">
        <f ca="1">IFERROR(__xludf.DUMMYFUNCTION("""COMPUTED_VALUE"""),"12.08.21 08-19")</f>
        <v>12.08.21 08-19</v>
      </c>
      <c r="N158" t="str">
        <f ca="1">IFERROR(__xludf.DUMMYFUNCTION("""COMPUTED_VALUE"""),"03 ПРОС")</f>
        <v>03 ПРОС</v>
      </c>
      <c r="O158">
        <f ca="1">IFERROR(__xludf.DUMMYFUNCTION("""COMPUTED_VALUE"""),49620)</f>
        <v>49620</v>
      </c>
      <c r="P158" t="str">
        <f ca="1">IFERROR(__xludf.DUMMYFUNCTION("""COMPUTED_VALUE"""),"ДЕКОНСКАЯ")</f>
        <v>ДЕКОНСКАЯ</v>
      </c>
      <c r="Q158">
        <f ca="1">IFERROR(__xludf.DUMMYFUNCTION("""COMPUTED_VALUE"""),32040)</f>
        <v>32040</v>
      </c>
      <c r="R158" t="str">
        <f ca="1">IFERROR(__xludf.DUMMYFUNCTION("""COMPUTED_VALUE"""),"ГРУШКИ")</f>
        <v>ГРУШКИ</v>
      </c>
      <c r="S158" t="str">
        <f ca="1">IFERROR(__xludf.DUMMYFUNCTION("""COMPUTED_VALUE"""),"06.08.21 08-00")</f>
        <v>06.08.21 08-00</v>
      </c>
      <c r="T158">
        <f ca="1">IFERROR(__xludf.DUMMYFUNCTION("""COMPUTED_VALUE"""),3314)</f>
        <v>3314</v>
      </c>
      <c r="U158" t="str">
        <f ca="1">IFERROR(__xludf.DUMMYFUNCTION("""COMPUTED_VALUE"""),"01.03.2024 ТР-1")</f>
        <v>01.03.2024 ТР-1</v>
      </c>
      <c r="Z158" t="str">
        <f ca="1">IFERROR(__xludf.DUMMYFUNCTION("""COMPUTED_VALUE"""),"ООО «БГС РЕЙЛ»")</f>
        <v>ООО «БГС РЕЙЛ»</v>
      </c>
      <c r="AA158" t="str">
        <f ca="1">IFERROR(__xludf.DUMMYFUNCTION("""COMPUTED_VALUE"""),"11-276")</f>
        <v>11-276</v>
      </c>
      <c r="AB158" t="str">
        <f ca="1">IFERROR(__xludf.DUMMYFUNCTION("""COMPUTED_VALUE"""),"32 Ю-ЗАП")</f>
        <v>32 Ю-ЗАП</v>
      </c>
      <c r="AC158" t="str">
        <f ca="1">IFERROR(__xludf.DUMMYFUNCTION("""COMPUTED_VALUE"""),"33000 ЖМЕРИНКА")</f>
        <v>33000 ЖМЕРИНКА</v>
      </c>
      <c r="AD158" t="str">
        <f ca="1">IFERROR(__xludf.DUMMYFUNCTION("""COMPUTED_VALUE"""),"03.07.21 10-54")</f>
        <v>03.07.21 10-54</v>
      </c>
      <c r="AE158" t="str">
        <f ca="1">IFERROR(__xludf.DUMMYFUNCTION("""COMPUTED_VALUE"""),"570 ИCТEК КAЛЕНДАРНЫЙ CPOК ДEПOВCКОГО PEМOНТA")</f>
        <v>570 ИCТEК КAЛЕНДАРНЫЙ CPOК ДEПOВCКОГО PEМOНТA</v>
      </c>
      <c r="AF158" t="str">
        <f ca="1">IFERROR(__xludf.DUMMYFUNCTION("""COMPUTED_VALUE"""),"32 Ю-ЗАП")</f>
        <v>32 Ю-ЗАП</v>
      </c>
      <c r="AG158" t="str">
        <f ca="1">IFERROR(__xludf.DUMMYFUNCTION("""COMPUTED_VALUE"""),"33000 ЖМЕРИНКА")</f>
        <v>33000 ЖМЕРИНКА</v>
      </c>
      <c r="AH158" t="str">
        <f ca="1">IFERROR(__xludf.DUMMYFUNCTION("""COMPUTED_VALUE"""),"18.07.21 15-54")</f>
        <v>18.07.21 15-54</v>
      </c>
      <c r="AI158" s="21">
        <f ca="1">IFERROR(__xludf.DUMMYFUNCTION("""COMPUTED_VALUE"""),44420.357662037)</f>
        <v>44420.357662037</v>
      </c>
    </row>
    <row r="159" spans="1:35" ht="13" x14ac:dyDescent="0.15">
      <c r="A159">
        <f ca="1">IFERROR(__xludf.DUMMYFUNCTION("""COMPUTED_VALUE"""),380)</f>
        <v>380</v>
      </c>
      <c r="B159" t="str">
        <f ca="1">IFERROR(__xludf.DUMMYFUNCTION("""COMPUTED_VALUE"""),"Кнауф")</f>
        <v>Кнауф</v>
      </c>
      <c r="C159" t="str">
        <f ca="1">IFERROR(__xludf.DUMMYFUNCTION("""COMPUTED_VALUE"""),"АССТРА")</f>
        <v>АССТРА</v>
      </c>
      <c r="D159">
        <f ca="1">IFERROR(__xludf.DUMMYFUNCTION("""COMPUTED_VALUE"""),52426152)</f>
        <v>52426152</v>
      </c>
      <c r="E159" t="str">
        <f ca="1">IFERROR(__xludf.DUMMYFUNCTION("""COMPUTED_VALUE"""),"20 КРЫТЫЕ")</f>
        <v>20 КРЫТЫЕ</v>
      </c>
      <c r="F159">
        <f ca="1">IFERROR(__xludf.DUMMYFUNCTION("""COMPUTED_VALUE"""),42103)</f>
        <v>42103</v>
      </c>
      <c r="G159" t="str">
        <f ca="1">IFERROR(__xludf.DUMMYFUNCTION("""COMPUTED_VALUE"""),"ВАГОНЫ ЖД СВ")</f>
        <v>ВАГОНЫ ЖД СВ</v>
      </c>
      <c r="H159">
        <f ca="1">IFERROR(__xludf.DUMMYFUNCTION("""COMPUTED_VALUE"""),0)</f>
        <v>0</v>
      </c>
      <c r="I159">
        <f ca="1">IFERROR(__xludf.DUMMYFUNCTION("""COMPUTED_VALUE"""),4149)</f>
        <v>4149</v>
      </c>
      <c r="J159" t="str">
        <f ca="1">IFERROR(__xludf.DUMMYFUNCTION("""COMPUTED_VALUE"""),"4802 (44090-012-44020) ЗАЛЮТИНО - ОСНОВА")</f>
        <v>4802 (44090-012-44020) ЗАЛЮТИНО - ОСНОВА</v>
      </c>
      <c r="K159">
        <f ca="1">IFERROR(__xludf.DUMMYFUNCTION("""COMPUTED_VALUE"""),44090)</f>
        <v>44090</v>
      </c>
      <c r="L159" t="str">
        <f ca="1">IFERROR(__xludf.DUMMYFUNCTION("""COMPUTED_VALUE"""),"ЗАЛЮТИНО")</f>
        <v>ЗАЛЮТИНО</v>
      </c>
      <c r="M159" t="str">
        <f ca="1">IFERROR(__xludf.DUMMYFUNCTION("""COMPUTED_VALUE"""),"12.08.21 03-13")</f>
        <v>12.08.21 03-13</v>
      </c>
      <c r="N159" t="str">
        <f ca="1">IFERROR(__xludf.DUMMYFUNCTION("""COMPUTED_VALUE"""),"05 ФОРМ")</f>
        <v>05 ФОРМ</v>
      </c>
      <c r="O159">
        <f ca="1">IFERROR(__xludf.DUMMYFUNCTION("""COMPUTED_VALUE"""),49620)</f>
        <v>49620</v>
      </c>
      <c r="P159" t="str">
        <f ca="1">IFERROR(__xludf.DUMMYFUNCTION("""COMPUTED_VALUE"""),"ДЕКОНСКАЯ")</f>
        <v>ДЕКОНСКАЯ</v>
      </c>
      <c r="Q159">
        <f ca="1">IFERROR(__xludf.DUMMYFUNCTION("""COMPUTED_VALUE"""),44090)</f>
        <v>44090</v>
      </c>
      <c r="R159" t="str">
        <f ca="1">IFERROR(__xludf.DUMMYFUNCTION("""COMPUTED_VALUE"""),"ЗАЛЮТИНО")</f>
        <v>ЗАЛЮТИНО</v>
      </c>
      <c r="S159" t="str">
        <f ca="1">IFERROR(__xludf.DUMMYFUNCTION("""COMPUTED_VALUE"""),"10.08.21 17-50")</f>
        <v>10.08.21 17-50</v>
      </c>
      <c r="T159">
        <f ca="1">IFERROR(__xludf.DUMMYFUNCTION("""COMPUTED_VALUE"""),8200)</f>
        <v>8200</v>
      </c>
      <c r="U159" t="str">
        <f ca="1">IFERROR(__xludf.DUMMYFUNCTION("""COMPUTED_VALUE"""),"23.11.2022 КР")</f>
        <v>23.11.2022 КР</v>
      </c>
      <c r="Z159" t="str">
        <f ca="1">IFERROR(__xludf.DUMMYFUNCTION("""COMPUTED_VALUE"""),"ООО «БГС РЕЙЛ»")</f>
        <v>ООО «БГС РЕЙЛ»</v>
      </c>
      <c r="AA159" t="str">
        <f ca="1">IFERROR(__xludf.DUMMYFUNCTION("""COMPUTED_VALUE"""),"11-270")</f>
        <v>11-270</v>
      </c>
      <c r="AB159" t="str">
        <f ca="1">IFERROR(__xludf.DUMMYFUNCTION("""COMPUTED_VALUE"""),"48 ДОН")</f>
        <v>48 ДОН</v>
      </c>
      <c r="AC159" t="str">
        <f ca="1">IFERROR(__xludf.DUMMYFUNCTION("""COMPUTED_VALUE"""),"49480 СОЛЬ")</f>
        <v>49480 СОЛЬ</v>
      </c>
      <c r="AD159" t="str">
        <f ca="1">IFERROR(__xludf.DUMMYFUNCTION("""COMPUTED_VALUE"""),"21.12.20 06-35")</f>
        <v>21.12.20 06-35</v>
      </c>
      <c r="AE159" t="str">
        <f ca="1">IFERROR(__xludf.DUMMYFUNCTION("""COMPUTED_VALUE"""),"401 НEИCПPAВНOCТЬ AВТOPEЖИМA И ЕГО ПPИВОДА")</f>
        <v>401 НEИCПPAВНOCТЬ AВТOPEЖИМA И ЕГО ПPИВОДА</v>
      </c>
      <c r="AF159" t="str">
        <f ca="1">IFERROR(__xludf.DUMMYFUNCTION("""COMPUTED_VALUE"""),"48 ДОН")</f>
        <v>48 ДОН</v>
      </c>
      <c r="AG159" t="str">
        <f ca="1">IFERROR(__xludf.DUMMYFUNCTION("""COMPUTED_VALUE"""),"49480 СОЛЬ")</f>
        <v>49480 СОЛЬ</v>
      </c>
      <c r="AH159" t="str">
        <f ca="1">IFERROR(__xludf.DUMMYFUNCTION("""COMPUTED_VALUE"""),"22.12.20 16-30")</f>
        <v>22.12.20 16-30</v>
      </c>
      <c r="AI159" s="21">
        <f ca="1">IFERROR(__xludf.DUMMYFUNCTION("""COMPUTED_VALUE"""),44420.357662037)</f>
        <v>44420.357662037</v>
      </c>
    </row>
    <row r="160" spans="1:35" ht="13" x14ac:dyDescent="0.15">
      <c r="A160">
        <f ca="1">IFERROR(__xludf.DUMMYFUNCTION("""COMPUTED_VALUE"""),381)</f>
        <v>381</v>
      </c>
      <c r="B160" t="str">
        <f ca="1">IFERROR(__xludf.DUMMYFUNCTION("""COMPUTED_VALUE"""),"Кнауф")</f>
        <v>Кнауф</v>
      </c>
      <c r="C160" t="str">
        <f ca="1">IFERROR(__xludf.DUMMYFUNCTION("""COMPUTED_VALUE"""),"АССТРА")</f>
        <v>АССТРА</v>
      </c>
      <c r="D160">
        <f ca="1">IFERROR(__xludf.DUMMYFUNCTION("""COMPUTED_VALUE"""),52426038)</f>
        <v>52426038</v>
      </c>
      <c r="E160" t="str">
        <f ca="1">IFERROR(__xludf.DUMMYFUNCTION("""COMPUTED_VALUE"""),"20 КРЫТЫЕ")</f>
        <v>20 КРЫТЫЕ</v>
      </c>
      <c r="F160">
        <f ca="1">IFERROR(__xludf.DUMMYFUNCTION("""COMPUTED_VALUE"""),42103)</f>
        <v>42103</v>
      </c>
      <c r="G160" t="str">
        <f ca="1">IFERROR(__xludf.DUMMYFUNCTION("""COMPUTED_VALUE"""),"ВАГОНЫ ЖД СВ")</f>
        <v>ВАГОНЫ ЖД СВ</v>
      </c>
      <c r="H160">
        <f ca="1">IFERROR(__xludf.DUMMYFUNCTION("""COMPUTED_VALUE"""),0)</f>
        <v>0</v>
      </c>
      <c r="I160">
        <f ca="1">IFERROR(__xludf.DUMMYFUNCTION("""COMPUTED_VALUE"""),8199)</f>
        <v>8199</v>
      </c>
      <c r="J160" t="str">
        <f ca="1">IFERROR(__xludf.DUMMYFUNCTION("""COMPUTED_VALUE"""),"2001 (37040-305-38830) КЛЕПАРОВ - ЯМНИЦА")</f>
        <v>2001 (37040-305-38830) КЛЕПАРОВ - ЯМНИЦА</v>
      </c>
      <c r="K160">
        <f ca="1">IFERROR(__xludf.DUMMYFUNCTION("""COMPUTED_VALUE"""),38830)</f>
        <v>38830</v>
      </c>
      <c r="L160" t="str">
        <f ca="1">IFERROR(__xludf.DUMMYFUNCTION("""COMPUTED_VALUE"""),"ЯМНИЦА")</f>
        <v>ЯМНИЦА</v>
      </c>
      <c r="M160" t="str">
        <f ca="1">IFERROR(__xludf.DUMMYFUNCTION("""COMPUTED_VALUE"""),"12.08.21 00-40")</f>
        <v>12.08.21 00-40</v>
      </c>
      <c r="N160" t="str">
        <f ca="1">IFERROR(__xludf.DUMMYFUNCTION("""COMPUTED_VALUE"""),"98 ОТОТ")</f>
        <v>98 ОТОТ</v>
      </c>
      <c r="O160">
        <f ca="1">IFERROR(__xludf.DUMMYFUNCTION("""COMPUTED_VALUE"""),38830)</f>
        <v>38830</v>
      </c>
      <c r="P160" t="str">
        <f ca="1">IFERROR(__xludf.DUMMYFUNCTION("""COMPUTED_VALUE"""),"ЯМНИЦА")</f>
        <v>ЯМНИЦА</v>
      </c>
      <c r="Q160">
        <f ca="1">IFERROR(__xludf.DUMMYFUNCTION("""COMPUTED_VALUE"""),32210)</f>
        <v>32210</v>
      </c>
      <c r="R160" t="str">
        <f ca="1">IFERROR(__xludf.DUMMYFUNCTION("""COMPUTED_VALUE"""),"БУЧА")</f>
        <v>БУЧА</v>
      </c>
      <c r="S160" t="str">
        <f ca="1">IFERROR(__xludf.DUMMYFUNCTION("""COMPUTED_VALUE"""),"03.08.21 15-30")</f>
        <v>03.08.21 15-30</v>
      </c>
      <c r="T160">
        <f ca="1">IFERROR(__xludf.DUMMYFUNCTION("""COMPUTED_VALUE"""),8200)</f>
        <v>8200</v>
      </c>
      <c r="U160" t="str">
        <f ca="1">IFERROR(__xludf.DUMMYFUNCTION("""COMPUTED_VALUE"""),"01.12.2023 ДР")</f>
        <v>01.12.2023 ДР</v>
      </c>
      <c r="Z160" t="str">
        <f ca="1">IFERROR(__xludf.DUMMYFUNCTION("""COMPUTED_VALUE"""),"ООО «БГС РЕЙЛ»")</f>
        <v>ООО «БГС РЕЙЛ»</v>
      </c>
      <c r="AA160" t="str">
        <f ca="1">IFERROR(__xludf.DUMMYFUNCTION("""COMPUTED_VALUE"""),"11-270")</f>
        <v>11-270</v>
      </c>
      <c r="AB160" t="str">
        <f ca="1">IFERROR(__xludf.DUMMYFUNCTION("""COMPUTED_VALUE"""),"32 Ю-ЗАП")</f>
        <v>32 Ю-ЗАП</v>
      </c>
      <c r="AC160" t="str">
        <f ca="1">IFERROR(__xludf.DUMMYFUNCTION("""COMPUTED_VALUE"""),"33000 ЖМЕРИНКА")</f>
        <v>33000 ЖМЕРИНКА</v>
      </c>
      <c r="AD160" t="str">
        <f ca="1">IFERROR(__xludf.DUMMYFUNCTION("""COMPUTED_VALUE"""),"01.12.20 11-31")</f>
        <v>01.12.20 11-31</v>
      </c>
      <c r="AE160" t="str">
        <f ca="1">IFERROR(__xludf.DUMMYFUNCTION("""COMPUTED_VALUE"""),"571 ИCТEК КAЛЕНДАРНЫЙ CPOК КAПИТAЛЬНОГО PEМOНТA")</f>
        <v>571 ИCТEК КAЛЕНДАРНЫЙ CPOК КAПИТAЛЬНОГО PEМOНТA</v>
      </c>
      <c r="AF160" t="str">
        <f ca="1">IFERROR(__xludf.DUMMYFUNCTION("""COMPUTED_VALUE"""),"32 Ю-ЗАП")</f>
        <v>32 Ю-ЗАП</v>
      </c>
      <c r="AG160" t="str">
        <f ca="1">IFERROR(__xludf.DUMMYFUNCTION("""COMPUTED_VALUE"""),"33000 ЖМЕРИНКА")</f>
        <v>33000 ЖМЕРИНКА</v>
      </c>
      <c r="AH160" t="str">
        <f ca="1">IFERROR(__xludf.DUMMYFUNCTION("""COMPUTED_VALUE"""),"01.12.20 13-27")</f>
        <v>01.12.20 13-27</v>
      </c>
      <c r="AI160" s="21">
        <f ca="1">IFERROR(__xludf.DUMMYFUNCTION("""COMPUTED_VALUE"""),44420.357662037)</f>
        <v>44420.357662037</v>
      </c>
    </row>
    <row r="161" spans="1:35" ht="13" x14ac:dyDescent="0.15">
      <c r="A161">
        <f ca="1">IFERROR(__xludf.DUMMYFUNCTION("""COMPUTED_VALUE"""),382)</f>
        <v>382</v>
      </c>
      <c r="B161" t="str">
        <f ca="1">IFERROR(__xludf.DUMMYFUNCTION("""COMPUTED_VALUE"""),"Кнауф")</f>
        <v>Кнауф</v>
      </c>
      <c r="C161" t="str">
        <f ca="1">IFERROR(__xludf.DUMMYFUNCTION("""COMPUTED_VALUE"""),"АССТРА")</f>
        <v>АССТРА</v>
      </c>
      <c r="D161">
        <f ca="1">IFERROR(__xludf.DUMMYFUNCTION("""COMPUTED_VALUE"""),52523990)</f>
        <v>52523990</v>
      </c>
      <c r="E161" t="str">
        <f ca="1">IFERROR(__xludf.DUMMYFUNCTION("""COMPUTED_VALUE"""),"20 КРЫТЫЕ")</f>
        <v>20 КРЫТЫЕ</v>
      </c>
      <c r="F161">
        <f ca="1">IFERROR(__xludf.DUMMYFUNCTION("""COMPUTED_VALUE"""),42103)</f>
        <v>42103</v>
      </c>
      <c r="G161" t="str">
        <f ca="1">IFERROR(__xludf.DUMMYFUNCTION("""COMPUTED_VALUE"""),"ВАГОНЫ ЖД СВ")</f>
        <v>ВАГОНЫ ЖД СВ</v>
      </c>
      <c r="H161">
        <f ca="1">IFERROR(__xludf.DUMMYFUNCTION("""COMPUTED_VALUE"""),0)</f>
        <v>0</v>
      </c>
      <c r="I161">
        <f ca="1">IFERROR(__xludf.DUMMYFUNCTION("""COMPUTED_VALUE"""),4149)</f>
        <v>4149</v>
      </c>
      <c r="J161" t="str">
        <f ca="1">IFERROR(__xludf.DUMMYFUNCTION("""COMPUTED_VALUE"""),"3802 (49460-047-49640) БАХМУТ -")</f>
        <v>3802 (49460-047-49640) БАХМУТ -</v>
      </c>
      <c r="K161">
        <f ca="1">IFERROR(__xludf.DUMMYFUNCTION("""COMPUTED_VALUE"""),49620)</f>
        <v>49620</v>
      </c>
      <c r="L161" t="str">
        <f ca="1">IFERROR(__xludf.DUMMYFUNCTION("""COMPUTED_VALUE"""),"ДЕКОНСКАЯ")</f>
        <v>ДЕКОНСКАЯ</v>
      </c>
      <c r="M161" t="str">
        <f ca="1">IFERROR(__xludf.DUMMYFUNCTION("""COMPUTED_VALUE"""),"12.08.21 04-36")</f>
        <v>12.08.21 04-36</v>
      </c>
      <c r="N161" t="str">
        <f ca="1">IFERROR(__xludf.DUMMYFUNCTION("""COMPUTED_VALUE"""),"04 РАСФ")</f>
        <v>04 РАСФ</v>
      </c>
      <c r="O161">
        <f ca="1">IFERROR(__xludf.DUMMYFUNCTION("""COMPUTED_VALUE"""),49620)</f>
        <v>49620</v>
      </c>
      <c r="P161" t="str">
        <f ca="1">IFERROR(__xludf.DUMMYFUNCTION("""COMPUTED_VALUE"""),"ДЕКОНСКАЯ")</f>
        <v>ДЕКОНСКАЯ</v>
      </c>
      <c r="Q161">
        <f ca="1">IFERROR(__xludf.DUMMYFUNCTION("""COMPUTED_VALUE"""),32060)</f>
        <v>32060</v>
      </c>
      <c r="R161" t="str">
        <f ca="1">IFERROR(__xludf.DUMMYFUNCTION("""COMPUTED_VALUE"""),"ПОЧАЙНА")</f>
        <v>ПОЧАЙНА</v>
      </c>
      <c r="S161" t="str">
        <f ca="1">IFERROR(__xludf.DUMMYFUNCTION("""COMPUTED_VALUE"""),"04.08.21 15-30")</f>
        <v>04.08.21 15-30</v>
      </c>
      <c r="T161">
        <f ca="1">IFERROR(__xludf.DUMMYFUNCTION("""COMPUTED_VALUE"""),4951)</f>
        <v>4951</v>
      </c>
      <c r="U161" t="str">
        <f ca="1">IFERROR(__xludf.DUMMYFUNCTION("""COMPUTED_VALUE"""),"06.12.2021 ДР")</f>
        <v>06.12.2021 ДР</v>
      </c>
      <c r="Z161" t="str">
        <f ca="1">IFERROR(__xludf.DUMMYFUNCTION("""COMPUTED_VALUE"""),"ООО «БГС РЕЙЛ»")</f>
        <v>ООО «БГС РЕЙЛ»</v>
      </c>
      <c r="AA161" t="str">
        <f ca="1">IFERROR(__xludf.DUMMYFUNCTION("""COMPUTED_VALUE"""),"11-276")</f>
        <v>11-276</v>
      </c>
      <c r="AB161" t="str">
        <f ca="1">IFERROR(__xludf.DUMMYFUNCTION("""COMPUTED_VALUE"""),"48 ДОН")</f>
        <v>48 ДОН</v>
      </c>
      <c r="AC161" t="str">
        <f ca="1">IFERROR(__xludf.DUMMYFUNCTION("""COMPUTED_VALUE"""),"49000 ЛИМАН")</f>
        <v>49000 ЛИМАН</v>
      </c>
      <c r="AD161" t="str">
        <f ca="1">IFERROR(__xludf.DUMMYFUNCTION("""COMPUTED_VALUE"""),"27.08.20 13-31")</f>
        <v>27.08.20 13-31</v>
      </c>
      <c r="AE161" t="str">
        <f ca="1">IFERROR(__xludf.DUMMYFUNCTION("""COMPUTED_VALUE"""),"102 ТOНКИЙ ГPEБEНЬ")</f>
        <v>102 ТOНКИЙ ГPEБEНЬ</v>
      </c>
      <c r="AF161" t="str">
        <f ca="1">IFERROR(__xludf.DUMMYFUNCTION("""COMPUTED_VALUE"""),"48 ДОН")</f>
        <v>48 ДОН</v>
      </c>
      <c r="AG161" t="str">
        <f ca="1">IFERROR(__xludf.DUMMYFUNCTION("""COMPUTED_VALUE"""),"49000 ЛИМАН")</f>
        <v>49000 ЛИМАН</v>
      </c>
      <c r="AH161" t="str">
        <f ca="1">IFERROR(__xludf.DUMMYFUNCTION("""COMPUTED_VALUE"""),"27.08.20 17-00")</f>
        <v>27.08.20 17-00</v>
      </c>
      <c r="AI161" s="21">
        <f ca="1">IFERROR(__xludf.DUMMYFUNCTION("""COMPUTED_VALUE"""),44420.357662037)</f>
        <v>44420.357662037</v>
      </c>
    </row>
    <row r="162" spans="1:35" ht="13" x14ac:dyDescent="0.15">
      <c r="A162">
        <f ca="1">IFERROR(__xludf.DUMMYFUNCTION("""COMPUTED_VALUE"""),386)</f>
        <v>386</v>
      </c>
      <c r="B162" t="str">
        <f ca="1">IFERROR(__xludf.DUMMYFUNCTION("""COMPUTED_VALUE"""),"Кнауф")</f>
        <v>Кнауф</v>
      </c>
      <c r="C162" t="str">
        <f ca="1">IFERROR(__xludf.DUMMYFUNCTION("""COMPUTED_VALUE"""),"АССТРА РФ")</f>
        <v>АССТРА РФ</v>
      </c>
      <c r="D162">
        <f ca="1">IFERROR(__xludf.DUMMYFUNCTION("""COMPUTED_VALUE"""),52414984)</f>
        <v>52414984</v>
      </c>
      <c r="E162" t="str">
        <f ca="1">IFERROR(__xludf.DUMMYFUNCTION("""COMPUTED_VALUE"""),"20 КРЫТЫЕ")</f>
        <v>20 КРЫТЫЕ</v>
      </c>
      <c r="F162">
        <f ca="1">IFERROR(__xludf.DUMMYFUNCTION("""COMPUTED_VALUE"""),42103)</f>
        <v>42103</v>
      </c>
      <c r="G162" t="str">
        <f ca="1">IFERROR(__xludf.DUMMYFUNCTION("""COMPUTED_VALUE"""),"ВАГОНЫ ЖД СВ")</f>
        <v>ВАГОНЫ ЖД СВ</v>
      </c>
      <c r="H162">
        <f ca="1">IFERROR(__xludf.DUMMYFUNCTION("""COMPUTED_VALUE"""),0)</f>
        <v>0</v>
      </c>
      <c r="I162">
        <f ca="1">IFERROR(__xludf.DUMMYFUNCTION("""COMPUTED_VALUE"""),4149)</f>
        <v>4149</v>
      </c>
      <c r="J162" t="str">
        <f ca="1">IFERROR(__xludf.DUMMYFUNCTION("""COMPUTED_VALUE"""),"3187 (45000-412-49000) НИЖНЕДН-УЗЕЛ - ЛИМАН")</f>
        <v>3187 (45000-412-49000) НИЖНЕДН-УЗЕЛ - ЛИМАН</v>
      </c>
      <c r="K162">
        <f ca="1">IFERROR(__xludf.DUMMYFUNCTION("""COMPUTED_VALUE"""),49360)</f>
        <v>49360</v>
      </c>
      <c r="L162" t="str">
        <f ca="1">IFERROR(__xludf.DUMMYFUNCTION("""COMPUTED_VALUE"""),"ДУБОВО")</f>
        <v>ДУБОВО</v>
      </c>
      <c r="M162" t="str">
        <f ca="1">IFERROR(__xludf.DUMMYFUNCTION("""COMPUTED_VALUE"""),"12.08.21 08-14")</f>
        <v>12.08.21 08-14</v>
      </c>
      <c r="N162" t="str">
        <f ca="1">IFERROR(__xludf.DUMMYFUNCTION("""COMPUTED_VALUE"""),"02 ОТПР")</f>
        <v>02 ОТПР</v>
      </c>
      <c r="O162">
        <f ca="1">IFERROR(__xludf.DUMMYFUNCTION("""COMPUTED_VALUE"""),49620)</f>
        <v>49620</v>
      </c>
      <c r="P162" t="str">
        <f ca="1">IFERROR(__xludf.DUMMYFUNCTION("""COMPUTED_VALUE"""),"ДЕКОНСКАЯ")</f>
        <v>ДЕКОНСКАЯ</v>
      </c>
      <c r="Q162">
        <f ca="1">IFERROR(__xludf.DUMMYFUNCTION("""COMPUTED_VALUE"""),45060)</f>
        <v>45060</v>
      </c>
      <c r="R162" t="str">
        <f ca="1">IFERROR(__xludf.DUMMYFUNCTION("""COMPUTED_VALUE"""),"НИЖНЕДНЕПРОВ")</f>
        <v>НИЖНЕДНЕПРОВ</v>
      </c>
      <c r="S162" t="str">
        <f ca="1">IFERROR(__xludf.DUMMYFUNCTION("""COMPUTED_VALUE"""),"11.08.21 03-30")</f>
        <v>11.08.21 03-30</v>
      </c>
      <c r="T162">
        <f ca="1">IFERROR(__xludf.DUMMYFUNCTION("""COMPUTED_VALUE"""),8620)</f>
        <v>8620</v>
      </c>
      <c r="U162" t="str">
        <f ca="1">IFERROR(__xludf.DUMMYFUNCTION("""COMPUTED_VALUE"""),"01.03.2023 ТР-1")</f>
        <v>01.03.2023 ТР-1</v>
      </c>
      <c r="Z162" t="str">
        <f ca="1">IFERROR(__xludf.DUMMYFUNCTION("""COMPUTED_VALUE"""),"ООО «БГС РЕЙЛ»")</f>
        <v>ООО «БГС РЕЙЛ»</v>
      </c>
      <c r="AA162" t="str">
        <f ca="1">IFERROR(__xludf.DUMMYFUNCTION("""COMPUTED_VALUE"""),"11-270")</f>
        <v>11-270</v>
      </c>
      <c r="AB162" t="str">
        <f ca="1">IFERROR(__xludf.DUMMYFUNCTION("""COMPUTED_VALUE"""),"32 Ю-ЗАП")</f>
        <v>32 Ю-ЗАП</v>
      </c>
      <c r="AC162" t="str">
        <f ca="1">IFERROR(__xludf.DUMMYFUNCTION("""COMPUTED_VALUE"""),"33000 ЖМЕРИНКА")</f>
        <v>33000 ЖМЕРИНКА</v>
      </c>
      <c r="AD162" t="str">
        <f ca="1">IFERROR(__xludf.DUMMYFUNCTION("""COMPUTED_VALUE"""),"12.04.21 13-37")</f>
        <v>12.04.21 13-37</v>
      </c>
      <c r="AE162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162" t="str">
        <f ca="1">IFERROR(__xludf.DUMMYFUNCTION("""COMPUTED_VALUE"""),"32 Ю-ЗАП")</f>
        <v>32 Ю-ЗАП</v>
      </c>
      <c r="AG162" t="str">
        <f ca="1">IFERROR(__xludf.DUMMYFUNCTION("""COMPUTED_VALUE"""),"33000 ЖМЕРИНКА")</f>
        <v>33000 ЖМЕРИНКА</v>
      </c>
      <c r="AH162" t="str">
        <f ca="1">IFERROR(__xludf.DUMMYFUNCTION("""COMPUTED_VALUE"""),"12.04.21 13-40")</f>
        <v>12.04.21 13-40</v>
      </c>
      <c r="AI162" s="21">
        <f ca="1">IFERROR(__xludf.DUMMYFUNCTION("""COMPUTED_VALUE"""),44420.357662037)</f>
        <v>44420.357662037</v>
      </c>
    </row>
    <row r="163" spans="1:35" ht="13" x14ac:dyDescent="0.15">
      <c r="A163">
        <f ca="1">IFERROR(__xludf.DUMMYFUNCTION("""COMPUTED_VALUE"""),387)</f>
        <v>387</v>
      </c>
      <c r="B163" t="str">
        <f ca="1">IFERROR(__xludf.DUMMYFUNCTION("""COMPUTED_VALUE"""),"Кнауф")</f>
        <v>Кнауф</v>
      </c>
      <c r="C163" t="str">
        <f ca="1">IFERROR(__xludf.DUMMYFUNCTION("""COMPUTED_VALUE"""),"Керрилайн РФ")</f>
        <v>Керрилайн РФ</v>
      </c>
      <c r="D163">
        <f ca="1">IFERROR(__xludf.DUMMYFUNCTION("""COMPUTED_VALUE"""),52114857)</f>
        <v>52114857</v>
      </c>
      <c r="E163" t="str">
        <f ca="1">IFERROR(__xludf.DUMMYFUNCTION("""COMPUTED_VALUE"""),"28 КРЫТЫЕ_138")</f>
        <v>28 КРЫТЫЕ_138</v>
      </c>
      <c r="F163">
        <f ca="1">IFERROR(__xludf.DUMMYFUNCTION("""COMPUTED_VALUE"""),42103)</f>
        <v>42103</v>
      </c>
      <c r="G163" t="str">
        <f ca="1">IFERROR(__xludf.DUMMYFUNCTION("""COMPUTED_VALUE"""),"ВАГОНЫ ЖД СВ")</f>
        <v>ВАГОНЫ ЖД СВ</v>
      </c>
      <c r="H163">
        <f ca="1">IFERROR(__xludf.DUMMYFUNCTION("""COMPUTED_VALUE"""),0)</f>
        <v>0</v>
      </c>
      <c r="I163">
        <f ca="1">IFERROR(__xludf.DUMMYFUNCTION("""COMPUTED_VALUE"""),4714)</f>
        <v>4714</v>
      </c>
      <c r="J163" t="str">
        <f ca="1">IFERROR(__xludf.DUMMYFUNCTION("""COMPUTED_VALUE"""),"3503 (44060-037-44020) ИНДУСТРИАЛЬН - ОСНОВА")</f>
        <v>3503 (44060-037-44020) ИНДУСТРИАЛЬН - ОСНОВА</v>
      </c>
      <c r="K163">
        <f ca="1">IFERROR(__xludf.DUMMYFUNCTION("""COMPUTED_VALUE"""),44020)</f>
        <v>44020</v>
      </c>
      <c r="L163" t="str">
        <f ca="1">IFERROR(__xludf.DUMMYFUNCTION("""COMPUTED_VALUE"""),"ОСНОВА")</f>
        <v>ОСНОВА</v>
      </c>
      <c r="M163" t="str">
        <f ca="1">IFERROR(__xludf.DUMMYFUNCTION("""COMPUTED_VALUE"""),"12.08.21 01-21")</f>
        <v>12.08.21 01-21</v>
      </c>
      <c r="N163" t="str">
        <f ca="1">IFERROR(__xludf.DUMMYFUNCTION("""COMPUTED_VALUE"""),"04 РАСФ")</f>
        <v>04 РАСФ</v>
      </c>
      <c r="O163">
        <f ca="1">IFERROR(__xludf.DUMMYFUNCTION("""COMPUTED_VALUE"""),49480)</f>
        <v>49480</v>
      </c>
      <c r="P163" t="str">
        <f ca="1">IFERROR(__xludf.DUMMYFUNCTION("""COMPUTED_VALUE"""),"СОЛЬ")</f>
        <v>СОЛЬ</v>
      </c>
      <c r="Q163">
        <f ca="1">IFERROR(__xludf.DUMMYFUNCTION("""COMPUTED_VALUE"""),44050)</f>
        <v>44050</v>
      </c>
      <c r="R163" t="str">
        <f ca="1">IFERROR(__xludf.DUMMYFUNCTION("""COMPUTED_VALUE"""),"ХАРЬКОВ-БАЛ")</f>
        <v>ХАРЬКОВ-БАЛ</v>
      </c>
      <c r="S163" t="str">
        <f ca="1">IFERROR(__xludf.DUMMYFUNCTION("""COMPUTED_VALUE"""),"10.08.21 14-30")</f>
        <v>10.08.21 14-30</v>
      </c>
      <c r="T163">
        <f ca="1">IFERROR(__xludf.DUMMYFUNCTION("""COMPUTED_VALUE"""),1494)</f>
        <v>1494</v>
      </c>
      <c r="U163" t="str">
        <f ca="1">IFERROR(__xludf.DUMMYFUNCTION("""COMPUTED_VALUE"""),"04.07.2024 ДР")</f>
        <v>04.07.2024 ДР</v>
      </c>
      <c r="Z163" t="str">
        <f ca="1">IFERROR(__xludf.DUMMYFUNCTION("""COMPUTED_VALUE"""),"ООО «КЕРРИЛАЙН»")</f>
        <v>ООО «КЕРРИЛАЙН»</v>
      </c>
      <c r="AA163" t="str">
        <f ca="1">IFERROR(__xludf.DUMMYFUNCTION("""COMPUTED_VALUE"""),"11-280")</f>
        <v>11-280</v>
      </c>
      <c r="AB163" t="str">
        <f ca="1">IFERROR(__xludf.DUMMYFUNCTION("""COMPUTED_VALUE"""),"45 ПРИДН")</f>
        <v>45 ПРИДН</v>
      </c>
      <c r="AC163" t="str">
        <f ca="1">IFERROR(__xludf.DUMMYFUNCTION("""COMPUTED_VALUE"""),"47600 МЕЛИТОПОЛЬ")</f>
        <v>47600 МЕЛИТОПОЛЬ</v>
      </c>
      <c r="AD163" t="str">
        <f ca="1">IFERROR(__xludf.DUMMYFUNCTION("""COMPUTED_VALUE"""),"03.06.21 11-10")</f>
        <v>03.06.21 11-10</v>
      </c>
      <c r="AE163" t="str">
        <f ca="1">IFERROR(__xludf.DUMMYFUNCTION("""COMPUTED_VALUE"""),"571 ИCТEК КAЛЕНДАРНЫЙ CPOК КAПИТAЛЬНОГО PEМOНТA")</f>
        <v>571 ИCТEК КAЛЕНДАРНЫЙ CPOК КAПИТAЛЬНОГО PEМOНТA</v>
      </c>
      <c r="AF163" t="str">
        <f ca="1">IFERROR(__xludf.DUMMYFUNCTION("""COMPUTED_VALUE"""),"45 ПРИДН")</f>
        <v>45 ПРИДН</v>
      </c>
      <c r="AG163" t="str">
        <f ca="1">IFERROR(__xludf.DUMMYFUNCTION("""COMPUTED_VALUE"""),"47600 МЕЛИТОПОЛЬ")</f>
        <v>47600 МЕЛИТОПОЛЬ</v>
      </c>
      <c r="AH163" t="str">
        <f ca="1">IFERROR(__xludf.DUMMYFUNCTION("""COMPUTED_VALUE"""),"04.07.21 10-50")</f>
        <v>04.07.21 10-50</v>
      </c>
      <c r="AI163" s="21">
        <f ca="1">IFERROR(__xludf.DUMMYFUNCTION("""COMPUTED_VALUE"""),44420.357662037)</f>
        <v>44420.357662037</v>
      </c>
    </row>
    <row r="164" spans="1:35" ht="13" x14ac:dyDescent="0.15">
      <c r="A164">
        <f ca="1">IFERROR(__xludf.DUMMYFUNCTION("""COMPUTED_VALUE"""),388)</f>
        <v>388</v>
      </c>
      <c r="B164" t="str">
        <f ca="1">IFERROR(__xludf.DUMMYFUNCTION("""COMPUTED_VALUE"""),"Кнауф")</f>
        <v>Кнауф</v>
      </c>
      <c r="C164" t="str">
        <f ca="1">IFERROR(__xludf.DUMMYFUNCTION("""COMPUTED_VALUE"""),"Керрилайн 67")</f>
        <v>Керрилайн 67</v>
      </c>
      <c r="D164">
        <f ca="1">IFERROR(__xludf.DUMMYFUNCTION("""COMPUTED_VALUE"""),52690179)</f>
        <v>52690179</v>
      </c>
      <c r="E164" t="str">
        <f ca="1">IFERROR(__xludf.DUMMYFUNCTION("""COMPUTED_VALUE"""),"28 КРЫТЫЕ_138")</f>
        <v>28 КРЫТЫЕ_138</v>
      </c>
      <c r="F164">
        <f ca="1">IFERROR(__xludf.DUMMYFUNCTION("""COMPUTED_VALUE"""),42103)</f>
        <v>42103</v>
      </c>
      <c r="G164" t="str">
        <f ca="1">IFERROR(__xludf.DUMMYFUNCTION("""COMPUTED_VALUE"""),"ВАГОНЫ ЖД СВ")</f>
        <v>ВАГОНЫ ЖД СВ</v>
      </c>
      <c r="H164">
        <f ca="1">IFERROR(__xludf.DUMMYFUNCTION("""COMPUTED_VALUE"""),0)</f>
        <v>0</v>
      </c>
      <c r="I164">
        <f ca="1">IFERROR(__xludf.DUMMYFUNCTION("""COMPUTED_VALUE"""),9775)</f>
        <v>9775</v>
      </c>
      <c r="J164" t="str">
        <f ca="1">IFERROR(__xludf.DUMMYFUNCTION("""COMPUTED_VALUE"""),"0000 (00000-000-00000)  -")</f>
        <v>0000 (00000-000-00000)  -</v>
      </c>
      <c r="K164">
        <f ca="1">IFERROR(__xludf.DUMMYFUNCTION("""COMPUTED_VALUE"""),47600)</f>
        <v>47600</v>
      </c>
      <c r="L164" t="str">
        <f ca="1">IFERROR(__xludf.DUMMYFUNCTION("""COMPUTED_VALUE"""),"МЕЛИТОПОЛЬ")</f>
        <v>МЕЛИТОПОЛЬ</v>
      </c>
      <c r="M164" t="str">
        <f ca="1">IFERROR(__xludf.DUMMYFUNCTION("""COMPUTED_VALUE"""),"31.05.21 05-30")</f>
        <v>31.05.21 05-30</v>
      </c>
      <c r="N164" t="str">
        <f ca="1">IFERROR(__xludf.DUMMYFUNCTION("""COMPUTED_VALUE"""),"98 ОТОТ")</f>
        <v>98 ОТОТ</v>
      </c>
      <c r="O164">
        <f ca="1">IFERROR(__xludf.DUMMYFUNCTION("""COMPUTED_VALUE"""),47600)</f>
        <v>47600</v>
      </c>
      <c r="P164" t="str">
        <f ca="1">IFERROR(__xludf.DUMMYFUNCTION("""COMPUTED_VALUE"""),"МЕЛИТОПОЛЬ")</f>
        <v>МЕЛИТОПОЛЬ</v>
      </c>
      <c r="Q164">
        <f ca="1">IFERROR(__xludf.DUMMYFUNCTION("""COMPUTED_VALUE"""),66350)</f>
        <v>66350</v>
      </c>
      <c r="R164" t="str">
        <f ca="1">IFERROR(__xludf.DUMMYFUNCTION("""COMPUTED_VALUE"""),"АКТАУ-ПОРТ")</f>
        <v>АКТАУ-ПОРТ</v>
      </c>
      <c r="S164" t="str">
        <f ca="1">IFERROR(__xludf.DUMMYFUNCTION("""COMPUTED_VALUE"""),"25.03.21 00-00")</f>
        <v>25.03.21 00-00</v>
      </c>
      <c r="T164">
        <f ca="1">IFERROR(__xludf.DUMMYFUNCTION("""COMPUTED_VALUE"""),4920)</f>
        <v>4920</v>
      </c>
      <c r="U164" t="str">
        <f ca="1">IFERROR(__xludf.DUMMYFUNCTION("""COMPUTED_VALUE"""),"31.03.2021 КР")</f>
        <v>31.03.2021 КР</v>
      </c>
      <c r="Z164" t="str">
        <f ca="1">IFERROR(__xludf.DUMMYFUNCTION("""COMPUTED_VALUE"""),"ООО «КЕРРИЛАЙН»")</f>
        <v>ООО «КЕРРИЛАЙН»</v>
      </c>
      <c r="AA164" t="str">
        <f ca="1">IFERROR(__xludf.DUMMYFUNCTION("""COMPUTED_VALUE"""),"11-286")</f>
        <v>11-286</v>
      </c>
      <c r="AB164" t="str">
        <f ca="1">IFERROR(__xludf.DUMMYFUNCTION("""COMPUTED_VALUE"""),"45 ПРИДН")</f>
        <v>45 ПРИДН</v>
      </c>
      <c r="AC164" t="str">
        <f ca="1">IFERROR(__xludf.DUMMYFUNCTION("""COMPUTED_VALUE"""),"47600 МЕЛИТОПОЛЬ")</f>
        <v>47600 МЕЛИТОПОЛЬ</v>
      </c>
      <c r="AD164" t="str">
        <f ca="1">IFERROR(__xludf.DUMMYFUNCTION("""COMPUTED_VALUE"""),"15.04.21 07-50")</f>
        <v>15.04.21 07-50</v>
      </c>
      <c r="AE164" t="str">
        <f ca="1">IFERROR(__xludf.DUMMYFUNCTION("""COMPUTED_VALUE"""),"570 ИCТEК КAЛЕНДАРНЫЙ CPOК ДEПOВCКОГО PEМOНТA")</f>
        <v>570 ИCТEК КAЛЕНДАРНЫЙ CPOК ДEПOВCКОГО PEМOНТA</v>
      </c>
      <c r="AF164" t="str">
        <f ca="1">IFERROR(__xludf.DUMMYFUNCTION("""COMPUTED_VALUE"""),"48 ДОН")</f>
        <v>48 ДОН</v>
      </c>
      <c r="AG164" t="str">
        <f ca="1">IFERROR(__xludf.DUMMYFUNCTION("""COMPUTED_VALUE"""),"49480 СОЛЬ")</f>
        <v>49480 СОЛЬ</v>
      </c>
      <c r="AH164" t="str">
        <f ca="1">IFERROR(__xludf.DUMMYFUNCTION("""COMPUTED_VALUE"""),"02.09.20 16-00")</f>
        <v>02.09.20 16-00</v>
      </c>
      <c r="AI164" s="21">
        <f ca="1">IFERROR(__xludf.DUMMYFUNCTION("""COMPUTED_VALUE"""),44420.357662037)</f>
        <v>44420.357662037</v>
      </c>
    </row>
    <row r="165" spans="1:35" ht="13" x14ac:dyDescent="0.15">
      <c r="A165">
        <f ca="1">IFERROR(__xludf.DUMMYFUNCTION("""COMPUTED_VALUE"""),437)</f>
        <v>437</v>
      </c>
      <c r="B165" t="str">
        <f ca="1">IFERROR(__xludf.DUMMYFUNCTION("""COMPUTED_VALUE"""),"Кнауф")</f>
        <v>Кнауф</v>
      </c>
      <c r="C165" t="str">
        <f ca="1">IFERROR(__xludf.DUMMYFUNCTION("""COMPUTED_VALUE"""),"АССТРА")</f>
        <v>АССТРА</v>
      </c>
      <c r="D165">
        <f ca="1">IFERROR(__xludf.DUMMYFUNCTION("""COMPUTED_VALUE"""),52426921)</f>
        <v>52426921</v>
      </c>
      <c r="E165" t="str">
        <f ca="1">IFERROR(__xludf.DUMMYFUNCTION("""COMPUTED_VALUE"""),"20 КРЫТЫЕ")</f>
        <v>20 КРЫТЫЕ</v>
      </c>
      <c r="F165">
        <f ca="1">IFERROR(__xludf.DUMMYFUNCTION("""COMPUTED_VALUE"""),42103)</f>
        <v>42103</v>
      </c>
      <c r="G165" t="str">
        <f ca="1">IFERROR(__xludf.DUMMYFUNCTION("""COMPUTED_VALUE"""),"ВАГОНЫ ЖД СВ")</f>
        <v>ВАГОНЫ ЖД СВ</v>
      </c>
      <c r="H165">
        <f ca="1">IFERROR(__xludf.DUMMYFUNCTION("""COMPUTED_VALUE"""),0)</f>
        <v>0</v>
      </c>
      <c r="I165">
        <f ca="1">IFERROR(__xludf.DUMMYFUNCTION("""COMPUTED_VALUE"""),4149)</f>
        <v>4149</v>
      </c>
      <c r="J165" t="str">
        <f ca="1">IFERROR(__xludf.DUMMYFUNCTION("""COMPUTED_VALUE"""),"3804 (49640-065-49620)  - ДЕКОНСКАЯ")</f>
        <v>3804 (49640-065-49620)  - ДЕКОНСКАЯ</v>
      </c>
      <c r="K165">
        <f ca="1">IFERROR(__xludf.DUMMYFUNCTION("""COMPUTED_VALUE"""),49620)</f>
        <v>49620</v>
      </c>
      <c r="L165" t="str">
        <f ca="1">IFERROR(__xludf.DUMMYFUNCTION("""COMPUTED_VALUE"""),"ДЕКОНСКАЯ")</f>
        <v>ДЕКОНСКАЯ</v>
      </c>
      <c r="M165" t="str">
        <f ca="1">IFERROR(__xludf.DUMMYFUNCTION("""COMPUTED_VALUE"""),"09.08.21 21-00")</f>
        <v>09.08.21 21-00</v>
      </c>
      <c r="N165" t="str">
        <f ca="1">IFERROR(__xludf.DUMMYFUNCTION("""COMPUTED_VALUE"""),"98 ОТОТ")</f>
        <v>98 ОТОТ</v>
      </c>
      <c r="O165">
        <f ca="1">IFERROR(__xludf.DUMMYFUNCTION("""COMPUTED_VALUE"""),49620)</f>
        <v>49620</v>
      </c>
      <c r="P165" t="str">
        <f ca="1">IFERROR(__xludf.DUMMYFUNCTION("""COMPUTED_VALUE"""),"ДЕКОНСКАЯ")</f>
        <v>ДЕКОНСКАЯ</v>
      </c>
      <c r="Q165">
        <f ca="1">IFERROR(__xludf.DUMMYFUNCTION("""COMPUTED_VALUE"""),44050)</f>
        <v>44050</v>
      </c>
      <c r="R165" t="str">
        <f ca="1">IFERROR(__xludf.DUMMYFUNCTION("""COMPUTED_VALUE"""),"ХАРЬКОВ-БАЛ")</f>
        <v>ХАРЬКОВ-БАЛ</v>
      </c>
      <c r="S165" t="str">
        <f ca="1">IFERROR(__xludf.DUMMYFUNCTION("""COMPUTED_VALUE"""),"03.08.21 19-00")</f>
        <v>03.08.21 19-00</v>
      </c>
      <c r="T165">
        <f ca="1">IFERROR(__xludf.DUMMYFUNCTION("""COMPUTED_VALUE"""),1494)</f>
        <v>1494</v>
      </c>
      <c r="U165" t="str">
        <f ca="1">IFERROR(__xludf.DUMMYFUNCTION("""COMPUTED_VALUE"""),"30.08.2022 ДР")</f>
        <v>30.08.2022 ДР</v>
      </c>
      <c r="Z165" t="str">
        <f ca="1">IFERROR(__xludf.DUMMYFUNCTION("""COMPUTED_VALUE"""),"ООО «БГС РЕЙЛ»")</f>
        <v>ООО «БГС РЕЙЛ»</v>
      </c>
      <c r="AA165" t="str">
        <f ca="1">IFERROR(__xludf.DUMMYFUNCTION("""COMPUTED_VALUE"""),"11-270")</f>
        <v>11-270</v>
      </c>
      <c r="AB165" t="str">
        <f ca="1">IFERROR(__xludf.DUMMYFUNCTION("""COMPUTED_VALUE"""),"40 ОД")</f>
        <v>40 ОД</v>
      </c>
      <c r="AC165" t="str">
        <f ca="1">IFERROR(__xludf.DUMMYFUNCTION("""COMPUTED_VALUE"""),"41000 ЗНАМЕНКА")</f>
        <v>41000 ЗНАМЕНКА</v>
      </c>
      <c r="AD165" t="str">
        <f ca="1">IFERROR(__xludf.DUMMYFUNCTION("""COMPUTED_VALUE"""),"17.08.19 05-10")</f>
        <v>17.08.19 05-10</v>
      </c>
      <c r="AE165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165" t="str">
        <f ca="1">IFERROR(__xludf.DUMMYFUNCTION("""COMPUTED_VALUE"""),"40 ОД")</f>
        <v>40 ОД</v>
      </c>
      <c r="AG165" t="str">
        <f ca="1">IFERROR(__xludf.DUMMYFUNCTION("""COMPUTED_VALUE"""),"41000 ЗНАМЕНКА")</f>
        <v>41000 ЗНАМЕНКА</v>
      </c>
      <c r="AH165" t="str">
        <f ca="1">IFERROR(__xludf.DUMMYFUNCTION("""COMPUTED_VALUE"""),"30.08.19 14-00")</f>
        <v>30.08.19 14-00</v>
      </c>
      <c r="AI165" s="21">
        <f ca="1">IFERROR(__xludf.DUMMYFUNCTION("""COMPUTED_VALUE"""),44420.357662037)</f>
        <v>44420.357662037</v>
      </c>
    </row>
    <row r="166" spans="1:35" ht="13" x14ac:dyDescent="0.15">
      <c r="A166">
        <f ca="1">IFERROR(__xludf.DUMMYFUNCTION("""COMPUTED_VALUE"""),391)</f>
        <v>391</v>
      </c>
      <c r="B166" t="str">
        <f ca="1">IFERROR(__xludf.DUMMYFUNCTION("""COMPUTED_VALUE"""),"Кнауф")</f>
        <v>Кнауф</v>
      </c>
      <c r="C166" t="str">
        <f ca="1">IFERROR(__xludf.DUMMYFUNCTION("""COMPUTED_VALUE"""),"Керрилайн")</f>
        <v>Керрилайн</v>
      </c>
      <c r="D166">
        <f ca="1">IFERROR(__xludf.DUMMYFUNCTION("""COMPUTED_VALUE"""),52577632)</f>
        <v>52577632</v>
      </c>
      <c r="E166" t="str">
        <f ca="1">IFERROR(__xludf.DUMMYFUNCTION("""COMPUTED_VALUE"""),"20 КРЫТЫЕ")</f>
        <v>20 КРЫТЫЕ</v>
      </c>
      <c r="F166">
        <f ca="1">IFERROR(__xludf.DUMMYFUNCTION("""COMPUTED_VALUE"""),42103)</f>
        <v>42103</v>
      </c>
      <c r="G166" t="str">
        <f ca="1">IFERROR(__xludf.DUMMYFUNCTION("""COMPUTED_VALUE"""),"ВАГОНЫ ЖД СВ")</f>
        <v>ВАГОНЫ ЖД СВ</v>
      </c>
      <c r="H166">
        <f ca="1">IFERROR(__xludf.DUMMYFUNCTION("""COMPUTED_VALUE"""),0)</f>
        <v>0</v>
      </c>
      <c r="I166">
        <f ca="1">IFERROR(__xludf.DUMMYFUNCTION("""COMPUTED_VALUE"""),4149)</f>
        <v>4149</v>
      </c>
      <c r="J166" t="str">
        <f ca="1">IFERROR(__xludf.DUMMYFUNCTION("""COMPUTED_VALUE"""),"3803 (44050-079-44020) ХАРЬКОВ-БАЛ - ОСНОВА")</f>
        <v>3803 (44050-079-44020) ХАРЬКОВ-БАЛ - ОСНОВА</v>
      </c>
      <c r="K166">
        <f ca="1">IFERROR(__xludf.DUMMYFUNCTION("""COMPUTED_VALUE"""),44050)</f>
        <v>44050</v>
      </c>
      <c r="L166" t="str">
        <f ca="1">IFERROR(__xludf.DUMMYFUNCTION("""COMPUTED_VALUE"""),"ХАРЬКОВ-БАЛ")</f>
        <v>ХАРЬКОВ-БАЛ</v>
      </c>
      <c r="M166" t="str">
        <f ca="1">IFERROR(__xludf.DUMMYFUNCTION("""COMPUTED_VALUE"""),"12.08.21 05-30")</f>
        <v>12.08.21 05-30</v>
      </c>
      <c r="N166" t="str">
        <f ca="1">IFERROR(__xludf.DUMMYFUNCTION("""COMPUTED_VALUE"""),"05 ФОРМ")</f>
        <v>05 ФОРМ</v>
      </c>
      <c r="O166">
        <f ca="1">IFERROR(__xludf.DUMMYFUNCTION("""COMPUTED_VALUE"""),49620)</f>
        <v>49620</v>
      </c>
      <c r="P166" t="str">
        <f ca="1">IFERROR(__xludf.DUMMYFUNCTION("""COMPUTED_VALUE"""),"ДЕКОНСКАЯ")</f>
        <v>ДЕКОНСКАЯ</v>
      </c>
      <c r="Q166">
        <f ca="1">IFERROR(__xludf.DUMMYFUNCTION("""COMPUTED_VALUE"""),44050)</f>
        <v>44050</v>
      </c>
      <c r="R166" t="str">
        <f ca="1">IFERROR(__xludf.DUMMYFUNCTION("""COMPUTED_VALUE"""),"ХАРЬКОВ-БАЛ")</f>
        <v>ХАРЬКОВ-БАЛ</v>
      </c>
      <c r="S166" t="str">
        <f ca="1">IFERROR(__xludf.DUMMYFUNCTION("""COMPUTED_VALUE"""),"11.08.21 17-20")</f>
        <v>11.08.21 17-20</v>
      </c>
      <c r="T166">
        <f ca="1">IFERROR(__xludf.DUMMYFUNCTION("""COMPUTED_VALUE"""),1494)</f>
        <v>1494</v>
      </c>
      <c r="U166" t="str">
        <f ca="1">IFERROR(__xludf.DUMMYFUNCTION("""COMPUTED_VALUE"""),"18.03.2022 ДР")</f>
        <v>18.03.2022 ДР</v>
      </c>
      <c r="Z166" t="str">
        <f ca="1">IFERROR(__xludf.DUMMYFUNCTION("""COMPUTED_VALUE"""),"ООО «КЕРРИЛАЙН»")</f>
        <v>ООО «КЕРРИЛАЙН»</v>
      </c>
      <c r="AA166" t="str">
        <f ca="1">IFERROR(__xludf.DUMMYFUNCTION("""COMPUTED_VALUE"""),"11-217")</f>
        <v>11-217</v>
      </c>
      <c r="AB166" t="str">
        <f ca="1">IFERROR(__xludf.DUMMYFUNCTION("""COMPUTED_VALUE"""),"35 ЛЬВ")</f>
        <v>35 ЛЬВ</v>
      </c>
      <c r="AC166" t="str">
        <f ca="1">IFERROR(__xludf.DUMMYFUNCTION("""COMPUTED_VALUE"""),"37040 КЛЕПАРОВ")</f>
        <v>37040 КЛЕПАРОВ</v>
      </c>
      <c r="AD166" t="str">
        <f ca="1">IFERROR(__xludf.DUMMYFUNCTION("""COMPUTED_VALUE"""),"12.07.20 16-35")</f>
        <v>12.07.20 16-35</v>
      </c>
      <c r="AE166" t="str">
        <f ca="1">IFERROR(__xludf.DUMMYFUNCTION("""COMPUTED_VALUE"""),"537 НEИCПPAВНOCТЬ ЗAПOPA ДВEPИ")</f>
        <v>537 НEИCПPAВНOCТЬ ЗAПOPA ДВEPИ</v>
      </c>
      <c r="AF166" t="str">
        <f ca="1">IFERROR(__xludf.DUMMYFUNCTION("""COMPUTED_VALUE"""),"35 ЛЬВ")</f>
        <v>35 ЛЬВ</v>
      </c>
      <c r="AG166" t="str">
        <f ca="1">IFERROR(__xludf.DUMMYFUNCTION("""COMPUTED_VALUE"""),"37040 КЛЕПАРОВ")</f>
        <v>37040 КЛЕПАРОВ</v>
      </c>
      <c r="AH166" t="str">
        <f ca="1">IFERROR(__xludf.DUMMYFUNCTION("""COMPUTED_VALUE"""),"14.07.20 16-50")</f>
        <v>14.07.20 16-50</v>
      </c>
      <c r="AI166" s="21">
        <f ca="1">IFERROR(__xludf.DUMMYFUNCTION("""COMPUTED_VALUE"""),44420.357662037)</f>
        <v>44420.357662037</v>
      </c>
    </row>
    <row r="167" spans="1:35" ht="13" x14ac:dyDescent="0.15">
      <c r="A167">
        <f ca="1">IFERROR(__xludf.DUMMYFUNCTION("""COMPUTED_VALUE"""),392)</f>
        <v>392</v>
      </c>
      <c r="B167" t="str">
        <f ca="1">IFERROR(__xludf.DUMMYFUNCTION("""COMPUTED_VALUE"""),"Кнауф")</f>
        <v>Кнауф</v>
      </c>
      <c r="C167" t="str">
        <f ca="1">IFERROR(__xludf.DUMMYFUNCTION("""COMPUTED_VALUE"""),"Керрилайн")</f>
        <v>Керрилайн</v>
      </c>
      <c r="D167">
        <f ca="1">IFERROR(__xludf.DUMMYFUNCTION("""COMPUTED_VALUE"""),52524436)</f>
        <v>52524436</v>
      </c>
      <c r="E167" t="str">
        <f ca="1">IFERROR(__xludf.DUMMYFUNCTION("""COMPUTED_VALUE"""),"20 КРЫТЫЕ")</f>
        <v>20 КРЫТЫЕ</v>
      </c>
      <c r="F167">
        <f ca="1">IFERROR(__xludf.DUMMYFUNCTION("""COMPUTED_VALUE"""),42103)</f>
        <v>42103</v>
      </c>
      <c r="G167" t="str">
        <f ca="1">IFERROR(__xludf.DUMMYFUNCTION("""COMPUTED_VALUE"""),"ВАГОНЫ ЖД СВ")</f>
        <v>ВАГОНЫ ЖД СВ</v>
      </c>
      <c r="H167">
        <f ca="1">IFERROR(__xludf.DUMMYFUNCTION("""COMPUTED_VALUE"""),0)</f>
        <v>0</v>
      </c>
      <c r="I167">
        <f ca="1">IFERROR(__xludf.DUMMYFUNCTION("""COMPUTED_VALUE"""),8199)</f>
        <v>8199</v>
      </c>
      <c r="J167" t="str">
        <f ca="1">IFERROR(__xludf.DUMMYFUNCTION("""COMPUTED_VALUE"""),"2001 (37040-305-38830) КЛЕПАРОВ - ЯМНИЦА")</f>
        <v>2001 (37040-305-38830) КЛЕПАРОВ - ЯМНИЦА</v>
      </c>
      <c r="K167">
        <f ca="1">IFERROR(__xludf.DUMMYFUNCTION("""COMPUTED_VALUE"""),38830)</f>
        <v>38830</v>
      </c>
      <c r="L167" t="str">
        <f ca="1">IFERROR(__xludf.DUMMYFUNCTION("""COMPUTED_VALUE"""),"ЯМНИЦА")</f>
        <v>ЯМНИЦА</v>
      </c>
      <c r="M167" t="str">
        <f ca="1">IFERROR(__xludf.DUMMYFUNCTION("""COMPUTED_VALUE"""),"12.08.21 00-40")</f>
        <v>12.08.21 00-40</v>
      </c>
      <c r="N167" t="str">
        <f ca="1">IFERROR(__xludf.DUMMYFUNCTION("""COMPUTED_VALUE"""),"98 ОТОТ")</f>
        <v>98 ОТОТ</v>
      </c>
      <c r="O167">
        <f ca="1">IFERROR(__xludf.DUMMYFUNCTION("""COMPUTED_VALUE"""),38830)</f>
        <v>38830</v>
      </c>
      <c r="P167" t="str">
        <f ca="1">IFERROR(__xludf.DUMMYFUNCTION("""COMPUTED_VALUE"""),"ЯМНИЦА")</f>
        <v>ЯМНИЦА</v>
      </c>
      <c r="Q167">
        <f ca="1">IFERROR(__xludf.DUMMYFUNCTION("""COMPUTED_VALUE"""),37030)</f>
        <v>37030</v>
      </c>
      <c r="R167" t="str">
        <f ca="1">IFERROR(__xludf.DUMMYFUNCTION("""COMPUTED_VALUE"""),"СКНИЛОВ")</f>
        <v>СКНИЛОВ</v>
      </c>
      <c r="S167" t="str">
        <f ca="1">IFERROR(__xludf.DUMMYFUNCTION("""COMPUTED_VALUE"""),"06.08.21 17-20")</f>
        <v>06.08.21 17-20</v>
      </c>
      <c r="T167">
        <f ca="1">IFERROR(__xludf.DUMMYFUNCTION("""COMPUTED_VALUE"""),8200)</f>
        <v>8200</v>
      </c>
      <c r="U167" t="str">
        <f ca="1">IFERROR(__xludf.DUMMYFUNCTION("""COMPUTED_VALUE"""),"13.06.2023 ДР")</f>
        <v>13.06.2023 ДР</v>
      </c>
      <c r="Z167" t="str">
        <f ca="1">IFERROR(__xludf.DUMMYFUNCTION("""COMPUTED_VALUE"""),"ООО «КЕРРИЛАЙН»")</f>
        <v>ООО «КЕРРИЛАЙН»</v>
      </c>
      <c r="AA167" t="str">
        <f ca="1">IFERROR(__xludf.DUMMYFUNCTION("""COMPUTED_VALUE"""),"11-270")</f>
        <v>11-270</v>
      </c>
      <c r="AB167" t="str">
        <f ca="1">IFERROR(__xludf.DUMMYFUNCTION("""COMPUTED_VALUE"""),"48 ДОН")</f>
        <v>48 ДОН</v>
      </c>
      <c r="AC167" t="str">
        <f ca="1">IFERROR(__xludf.DUMMYFUNCTION("""COMPUTED_VALUE"""),"49620 ДЕКОНСКАЯ")</f>
        <v>49620 ДЕКОНСКАЯ</v>
      </c>
      <c r="AD167" t="str">
        <f ca="1">IFERROR(__xludf.DUMMYFUNCTION("""COMPUTED_VALUE"""),"04.08.20 23-30")</f>
        <v>04.08.20 23-30</v>
      </c>
      <c r="AE167" t="str">
        <f ca="1">IFERROR(__xludf.DUMMYFUNCTION("""COMPUTED_VALUE"""),"910 OТCУТCТВИE ПАСПОРТА ФOPМЫ ВУ-4М")</f>
        <v>910 OТCУТCТВИE ПАСПОРТА ФOPМЫ ВУ-4М</v>
      </c>
      <c r="AF167" t="str">
        <f ca="1">IFERROR(__xludf.DUMMYFUNCTION("""COMPUTED_VALUE"""),"48 ДОН")</f>
        <v>48 ДОН</v>
      </c>
      <c r="AG167" t="str">
        <f ca="1">IFERROR(__xludf.DUMMYFUNCTION("""COMPUTED_VALUE"""),"49620 ДЕКОНСКАЯ")</f>
        <v>49620 ДЕКОНСКАЯ</v>
      </c>
      <c r="AH167" t="str">
        <f ca="1">IFERROR(__xludf.DUMMYFUNCTION("""COMPUTED_VALUE"""),"03.09.20 17-10")</f>
        <v>03.09.20 17-10</v>
      </c>
      <c r="AI167" s="21">
        <f ca="1">IFERROR(__xludf.DUMMYFUNCTION("""COMPUTED_VALUE"""),44420.357662037)</f>
        <v>44420.357662037</v>
      </c>
    </row>
    <row r="168" spans="1:35" ht="13" x14ac:dyDescent="0.15">
      <c r="A168">
        <f ca="1">IFERROR(__xludf.DUMMYFUNCTION("""COMPUTED_VALUE"""),405)</f>
        <v>405</v>
      </c>
      <c r="B168" t="str">
        <f ca="1">IFERROR(__xludf.DUMMYFUNCTION("""COMPUTED_VALUE"""),"Кнауф")</f>
        <v>Кнауф</v>
      </c>
      <c r="C168" t="str">
        <f ca="1">IFERROR(__xludf.DUMMYFUNCTION("""COMPUTED_VALUE"""),"АССТРА")</f>
        <v>АССТРА</v>
      </c>
      <c r="D168">
        <f ca="1">IFERROR(__xludf.DUMMYFUNCTION("""COMPUTED_VALUE"""),52427143)</f>
        <v>52427143</v>
      </c>
      <c r="E168" t="str">
        <f ca="1">IFERROR(__xludf.DUMMYFUNCTION("""COMPUTED_VALUE"""),"20 КРЫТЫЕ")</f>
        <v>20 КРЫТЫЕ</v>
      </c>
      <c r="F168">
        <f ca="1">IFERROR(__xludf.DUMMYFUNCTION("""COMPUTED_VALUE"""),42103)</f>
        <v>42103</v>
      </c>
      <c r="G168" t="str">
        <f ca="1">IFERROR(__xludf.DUMMYFUNCTION("""COMPUTED_VALUE"""),"ВАГОНЫ ЖД СВ")</f>
        <v>ВАГОНЫ ЖД СВ</v>
      </c>
      <c r="H168">
        <f ca="1">IFERROR(__xludf.DUMMYFUNCTION("""COMPUTED_VALUE"""),0)</f>
        <v>0</v>
      </c>
      <c r="I168">
        <f ca="1">IFERROR(__xludf.DUMMYFUNCTION("""COMPUTED_VALUE"""),4149)</f>
        <v>4149</v>
      </c>
      <c r="J168" t="str">
        <f ca="1">IFERROR(__xludf.DUMMYFUNCTION("""COMPUTED_VALUE"""),"3802 (49640-069-49620)  - ДЕКОНСКАЯ")</f>
        <v>3802 (49640-069-49620)  - ДЕКОНСКАЯ</v>
      </c>
      <c r="K168">
        <f ca="1">IFERROR(__xludf.DUMMYFUNCTION("""COMPUTED_VALUE"""),49620)</f>
        <v>49620</v>
      </c>
      <c r="L168" t="str">
        <f ca="1">IFERROR(__xludf.DUMMYFUNCTION("""COMPUTED_VALUE"""),"ДЕКОНСКАЯ")</f>
        <v>ДЕКОНСКАЯ</v>
      </c>
      <c r="M168" t="str">
        <f ca="1">IFERROR(__xludf.DUMMYFUNCTION("""COMPUTED_VALUE"""),"11.08.21 04-43")</f>
        <v>11.08.21 04-43</v>
      </c>
      <c r="N168" t="str">
        <f ca="1">IFERROR(__xludf.DUMMYFUNCTION("""COMPUTED_VALUE"""),"98 ОТОТ")</f>
        <v>98 ОТОТ</v>
      </c>
      <c r="O168">
        <f ca="1">IFERROR(__xludf.DUMMYFUNCTION("""COMPUTED_VALUE"""),49620)</f>
        <v>49620</v>
      </c>
      <c r="P168" t="str">
        <f ca="1">IFERROR(__xludf.DUMMYFUNCTION("""COMPUTED_VALUE"""),"ДЕКОНСКАЯ")</f>
        <v>ДЕКОНСКАЯ</v>
      </c>
      <c r="Q168">
        <f ca="1">IFERROR(__xludf.DUMMYFUNCTION("""COMPUTED_VALUE"""),44050)</f>
        <v>44050</v>
      </c>
      <c r="R168" t="str">
        <f ca="1">IFERROR(__xludf.DUMMYFUNCTION("""COMPUTED_VALUE"""),"ХАРЬКОВ-БАЛ")</f>
        <v>ХАРЬКОВ-БАЛ</v>
      </c>
      <c r="S168" t="str">
        <f ca="1">IFERROR(__xludf.DUMMYFUNCTION("""COMPUTED_VALUE"""),"06.08.21 17-00")</f>
        <v>06.08.21 17-00</v>
      </c>
      <c r="T168">
        <f ca="1">IFERROR(__xludf.DUMMYFUNCTION("""COMPUTED_VALUE"""),1494)</f>
        <v>1494</v>
      </c>
      <c r="U168" t="str">
        <f ca="1">IFERROR(__xludf.DUMMYFUNCTION("""COMPUTED_VALUE"""),"30.11.2021 КР")</f>
        <v>30.11.2021 КР</v>
      </c>
      <c r="Z168" t="str">
        <f ca="1">IFERROR(__xludf.DUMMYFUNCTION("""COMPUTED_VALUE"""),"ООО «БГС РЕЙЛ»")</f>
        <v>ООО «БГС РЕЙЛ»</v>
      </c>
      <c r="AA168" t="str">
        <f ca="1">IFERROR(__xludf.DUMMYFUNCTION("""COMPUTED_VALUE"""),"11-270")</f>
        <v>11-270</v>
      </c>
      <c r="AB168" t="str">
        <f ca="1">IFERROR(__xludf.DUMMYFUNCTION("""COMPUTED_VALUE"""),"48 ДОН")</f>
        <v>48 ДОН</v>
      </c>
      <c r="AC168" t="str">
        <f ca="1">IFERROR(__xludf.DUMMYFUNCTION("""COMPUTED_VALUE"""),"49480 СОЛЬ")</f>
        <v>49480 СОЛЬ</v>
      </c>
      <c r="AD168" t="str">
        <f ca="1">IFERROR(__xludf.DUMMYFUNCTION("""COMPUTED_VALUE"""),"16.10.20 03-50")</f>
        <v>16.10.20 03-50</v>
      </c>
      <c r="AE168" t="str">
        <f ca="1">IFERROR(__xludf.DUMMYFUNCTION("""COMPUTED_VALUE"""),"563")</f>
        <v>563</v>
      </c>
      <c r="AF168" t="str">
        <f ca="1">IFERROR(__xludf.DUMMYFUNCTION("""COMPUTED_VALUE"""),"48 ДОН")</f>
        <v>48 ДОН</v>
      </c>
      <c r="AG168" t="str">
        <f ca="1">IFERROR(__xludf.DUMMYFUNCTION("""COMPUTED_VALUE"""),"49480 СОЛЬ")</f>
        <v>49480 СОЛЬ</v>
      </c>
      <c r="AH168" t="str">
        <f ca="1">IFERROR(__xludf.DUMMYFUNCTION("""COMPUTED_VALUE"""),"20.10.20 13-00")</f>
        <v>20.10.20 13-00</v>
      </c>
      <c r="AI168" s="21">
        <f ca="1">IFERROR(__xludf.DUMMYFUNCTION("""COMPUTED_VALUE"""),44420.357662037)</f>
        <v>44420.357662037</v>
      </c>
    </row>
    <row r="169" spans="1:35" ht="13" x14ac:dyDescent="0.15">
      <c r="A169">
        <f ca="1">IFERROR(__xludf.DUMMYFUNCTION("""COMPUTED_VALUE"""),406)</f>
        <v>406</v>
      </c>
      <c r="B169" t="str">
        <f ca="1">IFERROR(__xludf.DUMMYFUNCTION("""COMPUTED_VALUE"""),"Кнауф")</f>
        <v>Кнауф</v>
      </c>
      <c r="C169" t="str">
        <f ca="1">IFERROR(__xludf.DUMMYFUNCTION("""COMPUTED_VALUE"""),"АССТРА")</f>
        <v>АССТРА</v>
      </c>
      <c r="D169">
        <f ca="1">IFERROR(__xludf.DUMMYFUNCTION("""COMPUTED_VALUE"""),52034873)</f>
        <v>52034873</v>
      </c>
      <c r="E169" t="str">
        <f ca="1">IFERROR(__xludf.DUMMYFUNCTION("""COMPUTED_VALUE"""),"20 КРЫТЫЕ")</f>
        <v>20 КРЫТЫЕ</v>
      </c>
      <c r="F169">
        <f ca="1">IFERROR(__xludf.DUMMYFUNCTION("""COMPUTED_VALUE"""),23304)</f>
        <v>23304</v>
      </c>
      <c r="G169" t="str">
        <f ca="1">IFERROR(__xludf.DUMMYFUNCTION("""COMPUTED_VALUE"""),"ГИПС ПР")</f>
        <v>ГИПС ПР</v>
      </c>
      <c r="H169">
        <f ca="1">IFERROR(__xludf.DUMMYFUNCTION("""COMPUTED_VALUE"""),66)</f>
        <v>66</v>
      </c>
      <c r="I169">
        <f ca="1">IFERROR(__xludf.DUMMYFUNCTION("""COMPUTED_VALUE"""),8676)</f>
        <v>8676</v>
      </c>
      <c r="J169" t="str">
        <f ca="1">IFERROR(__xludf.DUMMYFUNCTION("""COMPUTED_VALUE"""),"2749 (33000-312-36000) ЖМЕРИНКА - ТЕРНОПОЛЬ")</f>
        <v>2749 (33000-312-36000) ЖМЕРИНКА - ТЕРНОПОЛЬ</v>
      </c>
      <c r="K169">
        <f ca="1">IFERROR(__xludf.DUMMYFUNCTION("""COMPUTED_VALUE"""),36000)</f>
        <v>36000</v>
      </c>
      <c r="L169" t="str">
        <f ca="1">IFERROR(__xludf.DUMMYFUNCTION("""COMPUTED_VALUE"""),"ТЕРНОПОЛЬ")</f>
        <v>ТЕРНОПОЛЬ</v>
      </c>
      <c r="M169" t="str">
        <f ca="1">IFERROR(__xludf.DUMMYFUNCTION("""COMPUTED_VALUE"""),"11.08.21 17-30")</f>
        <v>11.08.21 17-30</v>
      </c>
      <c r="N169" t="str">
        <f ca="1">IFERROR(__xludf.DUMMYFUNCTION("""COMPUTED_VALUE"""),"98 ОТОТ")</f>
        <v>98 ОТОТ</v>
      </c>
      <c r="O169">
        <f ca="1">IFERROR(__xludf.DUMMYFUNCTION("""COMPUTED_VALUE"""),36000)</f>
        <v>36000</v>
      </c>
      <c r="P169" t="str">
        <f ca="1">IFERROR(__xludf.DUMMYFUNCTION("""COMPUTED_VALUE"""),"ТЕРНОПОЛЬ")</f>
        <v>ТЕРНОПОЛЬ</v>
      </c>
      <c r="Q169">
        <f ca="1">IFERROR(__xludf.DUMMYFUNCTION("""COMPUTED_VALUE"""),49620)</f>
        <v>49620</v>
      </c>
      <c r="R169" t="str">
        <f ca="1">IFERROR(__xludf.DUMMYFUNCTION("""COMPUTED_VALUE"""),"ДЕКОНСКАЯ")</f>
        <v>ДЕКОНСКАЯ</v>
      </c>
      <c r="S169" t="str">
        <f ca="1">IFERROR(__xludf.DUMMYFUNCTION("""COMPUTED_VALUE"""),"03.08.21 20-30")</f>
        <v>03.08.21 20-30</v>
      </c>
      <c r="T169">
        <f ca="1">IFERROR(__xludf.DUMMYFUNCTION("""COMPUTED_VALUE"""),4149)</f>
        <v>4149</v>
      </c>
      <c r="U169" t="str">
        <f ca="1">IFERROR(__xludf.DUMMYFUNCTION("""COMPUTED_VALUE"""),"13.12.2021 КР")</f>
        <v>13.12.2021 КР</v>
      </c>
      <c r="Z169" t="str">
        <f ca="1">IFERROR(__xludf.DUMMYFUNCTION("""COMPUTED_VALUE"""),"ООО «БГС РЕЙЛ»")</f>
        <v>ООО «БГС РЕЙЛ»</v>
      </c>
      <c r="AA169" t="str">
        <f ca="1">IFERROR(__xludf.DUMMYFUNCTION("""COMPUTED_VALUE"""),"11-276")</f>
        <v>11-276</v>
      </c>
      <c r="AB169" t="str">
        <f ca="1">IFERROR(__xludf.DUMMYFUNCTION("""COMPUTED_VALUE"""),"48 ДОН")</f>
        <v>48 ДОН</v>
      </c>
      <c r="AC169" t="str">
        <f ca="1">IFERROR(__xludf.DUMMYFUNCTION("""COMPUTED_VALUE"""),"49480 СОЛЬ")</f>
        <v>49480 СОЛЬ</v>
      </c>
      <c r="AD169" t="str">
        <f ca="1">IFERROR(__xludf.DUMMYFUNCTION("""COMPUTED_VALUE"""),"06.02.21 14-28")</f>
        <v>06.02.21 14-28</v>
      </c>
      <c r="AE169" t="str">
        <f ca="1">IFERROR(__xludf.DUMMYFUNCTION("""COMPUTED_VALUE"""),"563")</f>
        <v>563</v>
      </c>
      <c r="AF169" t="str">
        <f ca="1">IFERROR(__xludf.DUMMYFUNCTION("""COMPUTED_VALUE"""),"48 ДОН")</f>
        <v>48 ДОН</v>
      </c>
      <c r="AG169" t="str">
        <f ca="1">IFERROR(__xludf.DUMMYFUNCTION("""COMPUTED_VALUE"""),"49480 СОЛЬ")</f>
        <v>49480 СОЛЬ</v>
      </c>
      <c r="AH169" t="str">
        <f ca="1">IFERROR(__xludf.DUMMYFUNCTION("""COMPUTED_VALUE"""),"07.02.21 13-00")</f>
        <v>07.02.21 13-00</v>
      </c>
      <c r="AI169" s="21">
        <f ca="1">IFERROR(__xludf.DUMMYFUNCTION("""COMPUTED_VALUE"""),44420.357662037)</f>
        <v>44420.357662037</v>
      </c>
    </row>
    <row r="170" spans="1:35" ht="13" x14ac:dyDescent="0.15">
      <c r="A170">
        <f ca="1">IFERROR(__xludf.DUMMYFUNCTION("""COMPUTED_VALUE"""),407)</f>
        <v>407</v>
      </c>
      <c r="B170" t="str">
        <f ca="1">IFERROR(__xludf.DUMMYFUNCTION("""COMPUTED_VALUE"""),"Кнауф")</f>
        <v>Кнауф</v>
      </c>
      <c r="C170" t="str">
        <f ca="1">IFERROR(__xludf.DUMMYFUNCTION("""COMPUTED_VALUE"""),"Керрилайн")</f>
        <v>Керрилайн</v>
      </c>
      <c r="D170">
        <f ca="1">IFERROR(__xludf.DUMMYFUNCTION("""COMPUTED_VALUE"""),52408853)</f>
        <v>52408853</v>
      </c>
      <c r="E170" t="str">
        <f ca="1">IFERROR(__xludf.DUMMYFUNCTION("""COMPUTED_VALUE"""),"20 КРЫТЫЕ")</f>
        <v>20 КРЫТЫЕ</v>
      </c>
      <c r="F170">
        <f ca="1">IFERROR(__xludf.DUMMYFUNCTION("""COMPUTED_VALUE"""),42103)</f>
        <v>42103</v>
      </c>
      <c r="G170" t="str">
        <f ca="1">IFERROR(__xludf.DUMMYFUNCTION("""COMPUTED_VALUE"""),"ВАГОНЫ ЖД СВ")</f>
        <v>ВАГОНЫ ЖД СВ</v>
      </c>
      <c r="H170">
        <f ca="1">IFERROR(__xludf.DUMMYFUNCTION("""COMPUTED_VALUE"""),0)</f>
        <v>0</v>
      </c>
      <c r="I170">
        <f ca="1">IFERROR(__xludf.DUMMYFUNCTION("""COMPUTED_VALUE"""),4149)</f>
        <v>4149</v>
      </c>
      <c r="J170" t="str">
        <f ca="1">IFERROR(__xludf.DUMMYFUNCTION("""COMPUTED_VALUE"""),"2814 (41000-500-45000) ЗНАМЕНКА - НИЖНЕДН-УЗЕЛ")</f>
        <v>2814 (41000-500-45000) ЗНАМЕНКА - НИЖНЕДН-УЗЕЛ</v>
      </c>
      <c r="K170">
        <f ca="1">IFERROR(__xludf.DUMMYFUNCTION("""COMPUTED_VALUE"""),45000)</f>
        <v>45000</v>
      </c>
      <c r="L170" t="str">
        <f ca="1">IFERROR(__xludf.DUMMYFUNCTION("""COMPUTED_VALUE"""),"НИЖНЕДН-УЗЕЛ")</f>
        <v>НИЖНЕДН-УЗЕЛ</v>
      </c>
      <c r="M170" t="str">
        <f ca="1">IFERROR(__xludf.DUMMYFUNCTION("""COMPUTED_VALUE"""),"11.08.21 18-31")</f>
        <v>11.08.21 18-31</v>
      </c>
      <c r="N170" t="str">
        <f ca="1">IFERROR(__xludf.DUMMYFUNCTION("""COMPUTED_VALUE"""),"04 РАСФ")</f>
        <v>04 РАСФ</v>
      </c>
      <c r="O170">
        <f ca="1">IFERROR(__xludf.DUMMYFUNCTION("""COMPUTED_VALUE"""),49620)</f>
        <v>49620</v>
      </c>
      <c r="P170" t="str">
        <f ca="1">IFERROR(__xludf.DUMMYFUNCTION("""COMPUTED_VALUE"""),"ДЕКОНСКАЯ")</f>
        <v>ДЕКОНСКАЯ</v>
      </c>
      <c r="Q170">
        <f ca="1">IFERROR(__xludf.DUMMYFUNCTION("""COMPUTED_VALUE"""),34560)</f>
        <v>34560</v>
      </c>
      <c r="R170" t="str">
        <f ca="1">IFERROR(__xludf.DUMMYFUNCTION("""COMPUTED_VALUE"""),"ЖИТОМИР")</f>
        <v>ЖИТОМИР</v>
      </c>
      <c r="S170" t="str">
        <f ca="1">IFERROR(__xludf.DUMMYFUNCTION("""COMPUTED_VALUE"""),"02.08.21 17-10")</f>
        <v>02.08.21 17-10</v>
      </c>
      <c r="T170">
        <f ca="1">IFERROR(__xludf.DUMMYFUNCTION("""COMPUTED_VALUE"""),7272)</f>
        <v>7272</v>
      </c>
      <c r="U170" t="str">
        <f ca="1">IFERROR(__xludf.DUMMYFUNCTION("""COMPUTED_VALUE"""),"01.04.2022 ТР-1")</f>
        <v>01.04.2022 ТР-1</v>
      </c>
      <c r="Z170" t="str">
        <f ca="1">IFERROR(__xludf.DUMMYFUNCTION("""COMPUTED_VALUE"""),"ООО «КЕРРИЛАЙН»")</f>
        <v>ООО «КЕРРИЛАЙН»</v>
      </c>
      <c r="AA170" t="str">
        <f ca="1">IFERROR(__xludf.DUMMYFUNCTION("""COMPUTED_VALUE"""),"11-270")</f>
        <v>11-270</v>
      </c>
      <c r="AB170" t="str">
        <f ca="1">IFERROR(__xludf.DUMMYFUNCTION("""COMPUTED_VALUE"""),"48 ДОН")</f>
        <v>48 ДОН</v>
      </c>
      <c r="AC170" t="str">
        <f ca="1">IFERROR(__xludf.DUMMYFUNCTION("""COMPUTED_VALUE"""),"49480 СОЛЬ")</f>
        <v>49480 СОЛЬ</v>
      </c>
      <c r="AD170" t="str">
        <f ca="1">IFERROR(__xludf.DUMMYFUNCTION("""COMPUTED_VALUE"""),"23.06.20 00-45")</f>
        <v>23.06.20 00-45</v>
      </c>
      <c r="AE170" t="str">
        <f ca="1">IFERROR(__xludf.DUMMYFUNCTION("""COMPUTED_VALUE"""),"563")</f>
        <v>563</v>
      </c>
      <c r="AF170" t="str">
        <f ca="1">IFERROR(__xludf.DUMMYFUNCTION("""COMPUTED_VALUE"""),"48 ДОН")</f>
        <v>48 ДОН</v>
      </c>
      <c r="AG170" t="str">
        <f ca="1">IFERROR(__xludf.DUMMYFUNCTION("""COMPUTED_VALUE"""),"49480 СОЛЬ")</f>
        <v>49480 СОЛЬ</v>
      </c>
      <c r="AH170" t="str">
        <f ca="1">IFERROR(__xludf.DUMMYFUNCTION("""COMPUTED_VALUE"""),"26.06.20 16-00")</f>
        <v>26.06.20 16-00</v>
      </c>
      <c r="AI170" s="21">
        <f ca="1">IFERROR(__xludf.DUMMYFUNCTION("""COMPUTED_VALUE"""),44420.357662037)</f>
        <v>44420.357662037</v>
      </c>
    </row>
    <row r="171" spans="1:35" ht="13" x14ac:dyDescent="0.15">
      <c r="A171">
        <f ca="1">IFERROR(__xludf.DUMMYFUNCTION("""COMPUTED_VALUE"""),408)</f>
        <v>408</v>
      </c>
      <c r="B171" t="str">
        <f ca="1">IFERROR(__xludf.DUMMYFUNCTION("""COMPUTED_VALUE"""),"Кнауф")</f>
        <v>Кнауф</v>
      </c>
      <c r="C171" t="str">
        <f ca="1">IFERROR(__xludf.DUMMYFUNCTION("""COMPUTED_VALUE"""),"Керрилайн")</f>
        <v>Керрилайн</v>
      </c>
      <c r="D171">
        <f ca="1">IFERROR(__xludf.DUMMYFUNCTION("""COMPUTED_VALUE"""),52544418)</f>
        <v>52544418</v>
      </c>
      <c r="E171" t="str">
        <f ca="1">IFERROR(__xludf.DUMMYFUNCTION("""COMPUTED_VALUE"""),"20 КРЫТЫЕ")</f>
        <v>20 КРЫТЫЕ</v>
      </c>
      <c r="F171">
        <f ca="1">IFERROR(__xludf.DUMMYFUNCTION("""COMPUTED_VALUE"""),42103)</f>
        <v>42103</v>
      </c>
      <c r="G171" t="str">
        <f ca="1">IFERROR(__xludf.DUMMYFUNCTION("""COMPUTED_VALUE"""),"ВАГОНЫ ЖД СВ")</f>
        <v>ВАГОНЫ ЖД СВ</v>
      </c>
      <c r="H171">
        <f ca="1">IFERROR(__xludf.DUMMYFUNCTION("""COMPUTED_VALUE"""),0)</f>
        <v>0</v>
      </c>
      <c r="I171">
        <f ca="1">IFERROR(__xludf.DUMMYFUNCTION("""COMPUTED_VALUE"""),4149)</f>
        <v>4149</v>
      </c>
      <c r="J171" t="str">
        <f ca="1">IFERROR(__xludf.DUMMYFUNCTION("""COMPUTED_VALUE"""),"3802 (49640-063-49620)  - ДЕКОНСКАЯ")</f>
        <v>3802 (49640-063-49620)  - ДЕКОНСКАЯ</v>
      </c>
      <c r="K171">
        <f ca="1">IFERROR(__xludf.DUMMYFUNCTION("""COMPUTED_VALUE"""),49620)</f>
        <v>49620</v>
      </c>
      <c r="L171" t="str">
        <f ca="1">IFERROR(__xludf.DUMMYFUNCTION("""COMPUTED_VALUE"""),"ДЕКОНСКАЯ")</f>
        <v>ДЕКОНСКАЯ</v>
      </c>
      <c r="M171" t="str">
        <f ca="1">IFERROR(__xludf.DUMMYFUNCTION("""COMPUTED_VALUE"""),"06.08.21 22-20")</f>
        <v>06.08.21 22-20</v>
      </c>
      <c r="N171" t="str">
        <f ca="1">IFERROR(__xludf.DUMMYFUNCTION("""COMPUTED_VALUE"""),"98 ОТОТ")</f>
        <v>98 ОТОТ</v>
      </c>
      <c r="O171">
        <f ca="1">IFERROR(__xludf.DUMMYFUNCTION("""COMPUTED_VALUE"""),49620)</f>
        <v>49620</v>
      </c>
      <c r="P171" t="str">
        <f ca="1">IFERROR(__xludf.DUMMYFUNCTION("""COMPUTED_VALUE"""),"ДЕКОНСКАЯ")</f>
        <v>ДЕКОНСКАЯ</v>
      </c>
      <c r="Q171">
        <f ca="1">IFERROR(__xludf.DUMMYFUNCTION("""COMPUTED_VALUE"""),44050)</f>
        <v>44050</v>
      </c>
      <c r="R171" t="str">
        <f ca="1">IFERROR(__xludf.DUMMYFUNCTION("""COMPUTED_VALUE"""),"ХАРЬКОВ-БАЛ")</f>
        <v>ХАРЬКОВ-БАЛ</v>
      </c>
      <c r="S171" t="str">
        <f ca="1">IFERROR(__xludf.DUMMYFUNCTION("""COMPUTED_VALUE"""),"02.08.21 16-00")</f>
        <v>02.08.21 16-00</v>
      </c>
      <c r="T171">
        <f ca="1">IFERROR(__xludf.DUMMYFUNCTION("""COMPUTED_VALUE"""),1494)</f>
        <v>1494</v>
      </c>
      <c r="U171" t="str">
        <f ca="1">IFERROR(__xludf.DUMMYFUNCTION("""COMPUTED_VALUE"""),"04.04.2022 ДР")</f>
        <v>04.04.2022 ДР</v>
      </c>
      <c r="Z171" t="str">
        <f ca="1">IFERROR(__xludf.DUMMYFUNCTION("""COMPUTED_VALUE"""),"ООО «КЕРРИЛАЙН»")</f>
        <v>ООО «КЕРРИЛАЙН»</v>
      </c>
      <c r="AA171" t="str">
        <f ca="1">IFERROR(__xludf.DUMMYFUNCTION("""COMPUTED_VALUE"""),"11-270")</f>
        <v>11-270</v>
      </c>
      <c r="AB171" t="str">
        <f ca="1">IFERROR(__xludf.DUMMYFUNCTION("""COMPUTED_VALUE"""),"43 ЮЖН")</f>
        <v>43 ЮЖН</v>
      </c>
      <c r="AC171" t="str">
        <f ca="1">IFERROR(__xludf.DUMMYFUNCTION("""COMPUTED_VALUE"""),"43000 КУПЯНСК-СОРТ")</f>
        <v>43000 КУПЯНСК-СОРТ</v>
      </c>
      <c r="AD171" t="str">
        <f ca="1">IFERROR(__xludf.DUMMYFUNCTION("""COMPUTED_VALUE"""),"01.04.19 04-06")</f>
        <v>01.04.19 04-06</v>
      </c>
      <c r="AE171" t="str">
        <f ca="1">IFERROR(__xludf.DUMMYFUNCTION("""COMPUTED_VALUE"""),"570 ИCТEК КAЛЕНДАРНЫЙ CPOК ДEПOВCКОГО PEМOНТA")</f>
        <v>570 ИCТEК КAЛЕНДАРНЫЙ CPOК ДEПOВCКОГО PEМOНТA</v>
      </c>
      <c r="AF171" t="str">
        <f ca="1">IFERROR(__xludf.DUMMYFUNCTION("""COMPUTED_VALUE"""),"43 ЮЖН")</f>
        <v>43 ЮЖН</v>
      </c>
      <c r="AG171" t="str">
        <f ca="1">IFERROR(__xludf.DUMMYFUNCTION("""COMPUTED_VALUE"""),"43000 КУПЯНСК-СОРТ")</f>
        <v>43000 КУПЯНСК-СОРТ</v>
      </c>
      <c r="AH171" t="str">
        <f ca="1">IFERROR(__xludf.DUMMYFUNCTION("""COMPUTED_VALUE"""),"04.04.19 11-20")</f>
        <v>04.04.19 11-20</v>
      </c>
      <c r="AI171" s="21">
        <f ca="1">IFERROR(__xludf.DUMMYFUNCTION("""COMPUTED_VALUE"""),44420.357662037)</f>
        <v>44420.357662037</v>
      </c>
    </row>
    <row r="172" spans="1:35" ht="13" x14ac:dyDescent="0.15">
      <c r="A172">
        <f ca="1">IFERROR(__xludf.DUMMYFUNCTION("""COMPUTED_VALUE"""),409)</f>
        <v>409</v>
      </c>
      <c r="B172" t="str">
        <f ca="1">IFERROR(__xludf.DUMMYFUNCTION("""COMPUTED_VALUE"""),"Кнауф")</f>
        <v>Кнауф</v>
      </c>
      <c r="C172" t="str">
        <f ca="1">IFERROR(__xludf.DUMMYFUNCTION("""COMPUTED_VALUE"""),"Керрилайн")</f>
        <v>Керрилайн</v>
      </c>
      <c r="D172">
        <f ca="1">IFERROR(__xludf.DUMMYFUNCTION("""COMPUTED_VALUE"""),52544434)</f>
        <v>52544434</v>
      </c>
      <c r="E172" t="str">
        <f ca="1">IFERROR(__xludf.DUMMYFUNCTION("""COMPUTED_VALUE"""),"20 КРЫТЫЕ")</f>
        <v>20 КРЫТЫЕ</v>
      </c>
      <c r="F172">
        <f ca="1">IFERROR(__xludf.DUMMYFUNCTION("""COMPUTED_VALUE"""),23304)</f>
        <v>23304</v>
      </c>
      <c r="G172" t="str">
        <f ca="1">IFERROR(__xludf.DUMMYFUNCTION("""COMPUTED_VALUE"""),"ГИПС ПР")</f>
        <v>ГИПС ПР</v>
      </c>
      <c r="H172">
        <f ca="1">IFERROR(__xludf.DUMMYFUNCTION("""COMPUTED_VALUE"""),65)</f>
        <v>65</v>
      </c>
      <c r="I172">
        <f ca="1">IFERROR(__xludf.DUMMYFUNCTION("""COMPUTED_VALUE"""),4014)</f>
        <v>4014</v>
      </c>
      <c r="J172" t="str">
        <f ca="1">IFERROR(__xludf.DUMMYFUNCTION("""COMPUTED_VALUE"""),"5555 (35000-007-00080) ЗДОЛБУНОВ -")</f>
        <v>5555 (35000-007-00080) ЗДОЛБУНОВ -</v>
      </c>
      <c r="K172">
        <f ca="1">IFERROR(__xludf.DUMMYFUNCTION("""COMPUTED_VALUE"""),35000)</f>
        <v>35000</v>
      </c>
      <c r="L172" t="str">
        <f ca="1">IFERROR(__xludf.DUMMYFUNCTION("""COMPUTED_VALUE"""),"ЗДОЛБУНОВ")</f>
        <v>ЗДОЛБУНОВ</v>
      </c>
      <c r="M172" t="str">
        <f ca="1">IFERROR(__xludf.DUMMYFUNCTION("""COMPUTED_VALUE"""),"11.08.21 23-11")</f>
        <v>11.08.21 23-11</v>
      </c>
      <c r="N172" t="str">
        <f ca="1">IFERROR(__xludf.DUMMYFUNCTION("""COMPUTED_VALUE"""),"04 РАСФ")</f>
        <v>04 РАСФ</v>
      </c>
      <c r="O172">
        <f ca="1">IFERROR(__xludf.DUMMYFUNCTION("""COMPUTED_VALUE"""),35660)</f>
        <v>35660</v>
      </c>
      <c r="P172" t="str">
        <f ca="1">IFERROR(__xludf.DUMMYFUNCTION("""COMPUTED_VALUE"""),"РОВНО")</f>
        <v>РОВНО</v>
      </c>
      <c r="Q172">
        <f ca="1">IFERROR(__xludf.DUMMYFUNCTION("""COMPUTED_VALUE"""),49620)</f>
        <v>49620</v>
      </c>
      <c r="R172" t="str">
        <f ca="1">IFERROR(__xludf.DUMMYFUNCTION("""COMPUTED_VALUE"""),"ДЕКОНСКАЯ")</f>
        <v>ДЕКОНСКАЯ</v>
      </c>
      <c r="S172" t="str">
        <f ca="1">IFERROR(__xludf.DUMMYFUNCTION("""COMPUTED_VALUE"""),"04.08.21 15-20")</f>
        <v>04.08.21 15-20</v>
      </c>
      <c r="T172">
        <f ca="1">IFERROR(__xludf.DUMMYFUNCTION("""COMPUTED_VALUE"""),4149)</f>
        <v>4149</v>
      </c>
      <c r="U172" t="str">
        <f ca="1">IFERROR(__xludf.DUMMYFUNCTION("""COMPUTED_VALUE"""),"06.05.2022 ДР")</f>
        <v>06.05.2022 ДР</v>
      </c>
      <c r="Z172" t="str">
        <f ca="1">IFERROR(__xludf.DUMMYFUNCTION("""COMPUTED_VALUE"""),"ООО «КЕРРИЛАЙН»")</f>
        <v>ООО «КЕРРИЛАЙН»</v>
      </c>
      <c r="AA172" t="str">
        <f ca="1">IFERROR(__xludf.DUMMYFUNCTION("""COMPUTED_VALUE"""),"11-270")</f>
        <v>11-270</v>
      </c>
      <c r="AB172" t="str">
        <f ca="1">IFERROR(__xludf.DUMMYFUNCTION("""COMPUTED_VALUE"""),"43 ЮЖН")</f>
        <v>43 ЮЖН</v>
      </c>
      <c r="AC172" t="str">
        <f ca="1">IFERROR(__xludf.DUMMYFUNCTION("""COMPUTED_VALUE"""),"44020 ОСНОВА")</f>
        <v>44020 ОСНОВА</v>
      </c>
      <c r="AD172" t="str">
        <f ca="1">IFERROR(__xludf.DUMMYFUNCTION("""COMPUTED_VALUE"""),"20.03.21 11-35")</f>
        <v>20.03.21 11-35</v>
      </c>
      <c r="AE172" t="str">
        <f ca="1">IFERROR(__xludf.DUMMYFUNCTION("""COMPUTED_VALUE"""),"537 НEИCПPAВНOCТЬ ЗAПOPA ДВEPИ")</f>
        <v>537 НEИCПPAВНOCТЬ ЗAПOPA ДВEPИ</v>
      </c>
      <c r="AF172" t="str">
        <f ca="1">IFERROR(__xludf.DUMMYFUNCTION("""COMPUTED_VALUE"""),"43 ЮЖН")</f>
        <v>43 ЮЖН</v>
      </c>
      <c r="AG172" t="str">
        <f ca="1">IFERROR(__xludf.DUMMYFUNCTION("""COMPUTED_VALUE"""),"44020 ОСНОВА")</f>
        <v>44020 ОСНОВА</v>
      </c>
      <c r="AH172" t="str">
        <f ca="1">IFERROR(__xludf.DUMMYFUNCTION("""COMPUTED_VALUE"""),"22.03.21 17-10")</f>
        <v>22.03.21 17-10</v>
      </c>
      <c r="AI172" s="21">
        <f ca="1">IFERROR(__xludf.DUMMYFUNCTION("""COMPUTED_VALUE"""),44420.357662037)</f>
        <v>44420.357662037</v>
      </c>
    </row>
    <row r="173" spans="1:35" ht="13" x14ac:dyDescent="0.15">
      <c r="A173">
        <f ca="1">IFERROR(__xludf.DUMMYFUNCTION("""COMPUTED_VALUE"""),410)</f>
        <v>410</v>
      </c>
      <c r="B173" t="str">
        <f ca="1">IFERROR(__xludf.DUMMYFUNCTION("""COMPUTED_VALUE"""),"Кнауф")</f>
        <v>Кнауф</v>
      </c>
      <c r="C173" t="str">
        <f ca="1">IFERROR(__xludf.DUMMYFUNCTION("""COMPUTED_VALUE"""),"Керрилайн РФ")</f>
        <v>Керрилайн РФ</v>
      </c>
      <c r="D173">
        <f ca="1">IFERROR(__xludf.DUMMYFUNCTION("""COMPUTED_VALUE"""),52582467)</f>
        <v>52582467</v>
      </c>
      <c r="E173" t="str">
        <f ca="1">IFERROR(__xludf.DUMMYFUNCTION("""COMPUTED_VALUE"""),"20 КРЫТЫЕ")</f>
        <v>20 КРЫТЫЕ</v>
      </c>
      <c r="F173">
        <f ca="1">IFERROR(__xludf.DUMMYFUNCTION("""COMPUTED_VALUE"""),23304)</f>
        <v>23304</v>
      </c>
      <c r="G173" t="str">
        <f ca="1">IFERROR(__xludf.DUMMYFUNCTION("""COMPUTED_VALUE"""),"ГИПС ПР")</f>
        <v>ГИПС ПР</v>
      </c>
      <c r="H173">
        <f ca="1">IFERROR(__xludf.DUMMYFUNCTION("""COMPUTED_VALUE"""),65)</f>
        <v>65</v>
      </c>
      <c r="I173">
        <f ca="1">IFERROR(__xludf.DUMMYFUNCTION("""COMPUTED_VALUE"""),8691)</f>
        <v>8691</v>
      </c>
      <c r="J173" t="str">
        <f ca="1">IFERROR(__xludf.DUMMYFUNCTION("""COMPUTED_VALUE"""),"1111 (49460-043-49000) БАХМУТ - ЛИМАН")</f>
        <v>1111 (49460-043-49000) БАХМУТ - ЛИМАН</v>
      </c>
      <c r="K173">
        <f ca="1">IFERROR(__xludf.DUMMYFUNCTION("""COMPUTED_VALUE"""),49460)</f>
        <v>49460</v>
      </c>
      <c r="L173" t="str">
        <f ca="1">IFERROR(__xludf.DUMMYFUNCTION("""COMPUTED_VALUE"""),"БАХМУТ")</f>
        <v>БАХМУТ</v>
      </c>
      <c r="M173" t="str">
        <f ca="1">IFERROR(__xludf.DUMMYFUNCTION("""COMPUTED_VALUE"""),"12.08.21 04-00")</f>
        <v>12.08.21 04-00</v>
      </c>
      <c r="N173" t="str">
        <f ca="1">IFERROR(__xludf.DUMMYFUNCTION("""COMPUTED_VALUE"""),"05 ФОРМ")</f>
        <v>05 ФОРМ</v>
      </c>
      <c r="O173">
        <f ca="1">IFERROR(__xludf.DUMMYFUNCTION("""COMPUTED_VALUE"""),32500)</f>
        <v>32500</v>
      </c>
      <c r="P173" t="str">
        <f ca="1">IFERROR(__xludf.DUMMYFUNCTION("""COMPUTED_VALUE"""),"ЧЕРНИГОВ")</f>
        <v>ЧЕРНИГОВ</v>
      </c>
      <c r="Q173">
        <f ca="1">IFERROR(__xludf.DUMMYFUNCTION("""COMPUTED_VALUE"""),49620)</f>
        <v>49620</v>
      </c>
      <c r="R173" t="str">
        <f ca="1">IFERROR(__xludf.DUMMYFUNCTION("""COMPUTED_VALUE"""),"ДЕКОНСКАЯ")</f>
        <v>ДЕКОНСКАЯ</v>
      </c>
      <c r="S173" t="str">
        <f ca="1">IFERROR(__xludf.DUMMYFUNCTION("""COMPUTED_VALUE"""),"10.08.21 21-00")</f>
        <v>10.08.21 21-00</v>
      </c>
      <c r="T173">
        <f ca="1">IFERROR(__xludf.DUMMYFUNCTION("""COMPUTED_VALUE"""),4149)</f>
        <v>4149</v>
      </c>
      <c r="U173" t="str">
        <f ca="1">IFERROR(__xludf.DUMMYFUNCTION("""COMPUTED_VALUE"""),"26.04.2022 ТР-1")</f>
        <v>26.04.2022 ТР-1</v>
      </c>
      <c r="Z173" t="str">
        <f ca="1">IFERROR(__xludf.DUMMYFUNCTION("""COMPUTED_VALUE"""),"ООО «КЕРРИЛАЙН»")</f>
        <v>ООО «КЕРРИЛАЙН»</v>
      </c>
      <c r="AA173" t="str">
        <f ca="1">IFERROR(__xludf.DUMMYFUNCTION("""COMPUTED_VALUE"""),"11-270")</f>
        <v>11-270</v>
      </c>
      <c r="AB173" t="str">
        <f ca="1">IFERROR(__xludf.DUMMYFUNCTION("""COMPUTED_VALUE"""),"48 ДОН")</f>
        <v>48 ДОН</v>
      </c>
      <c r="AC173" t="str">
        <f ca="1">IFERROR(__xludf.DUMMYFUNCTION("""COMPUTED_VALUE"""),"49000 ЛИМАН")</f>
        <v>49000 ЛИМАН</v>
      </c>
      <c r="AD173" t="str">
        <f ca="1">IFERROR(__xludf.DUMMYFUNCTION("""COMPUTED_VALUE"""),"28.12.20 04-58")</f>
        <v>28.12.20 04-58</v>
      </c>
      <c r="AE173" t="str">
        <f ca="1">IFERROR(__xludf.DUMMYFUNCTION("""COMPUTED_VALUE"""),"537 НEИCПPAВНOCТЬ ЗAПOPA ДВEPИ")</f>
        <v>537 НEИCПPAВНOCТЬ ЗAПOPA ДВEPИ</v>
      </c>
      <c r="AF173" t="str">
        <f ca="1">IFERROR(__xludf.DUMMYFUNCTION("""COMPUTED_VALUE"""),"48 ДОН")</f>
        <v>48 ДОН</v>
      </c>
      <c r="AG173" t="str">
        <f ca="1">IFERROR(__xludf.DUMMYFUNCTION("""COMPUTED_VALUE"""),"49000 ЛИМАН")</f>
        <v>49000 ЛИМАН</v>
      </c>
      <c r="AH173" t="str">
        <f ca="1">IFERROR(__xludf.DUMMYFUNCTION("""COMPUTED_VALUE"""),"28.12.20 17-00")</f>
        <v>28.12.20 17-00</v>
      </c>
      <c r="AI173" s="21">
        <f ca="1">IFERROR(__xludf.DUMMYFUNCTION("""COMPUTED_VALUE"""),44420.357662037)</f>
        <v>44420.357662037</v>
      </c>
    </row>
    <row r="174" spans="1:35" ht="13" x14ac:dyDescent="0.15">
      <c r="A174">
        <f ca="1">IFERROR(__xludf.DUMMYFUNCTION("""COMPUTED_VALUE"""),411)</f>
        <v>411</v>
      </c>
      <c r="B174" t="str">
        <f ca="1">IFERROR(__xludf.DUMMYFUNCTION("""COMPUTED_VALUE"""),"Кнауф")</f>
        <v>Кнауф</v>
      </c>
      <c r="C174" t="str">
        <f ca="1">IFERROR(__xludf.DUMMYFUNCTION("""COMPUTED_VALUE"""),"Керрилайн")</f>
        <v>Керрилайн</v>
      </c>
      <c r="D174">
        <f ca="1">IFERROR(__xludf.DUMMYFUNCTION("""COMPUTED_VALUE"""),52544459)</f>
        <v>52544459</v>
      </c>
      <c r="E174" t="str">
        <f ca="1">IFERROR(__xludf.DUMMYFUNCTION("""COMPUTED_VALUE"""),"20 КРЫТЫЕ")</f>
        <v>20 КРЫТЫЕ</v>
      </c>
      <c r="F174">
        <f ca="1">IFERROR(__xludf.DUMMYFUNCTION("""COMPUTED_VALUE"""),23304)</f>
        <v>23304</v>
      </c>
      <c r="G174" t="str">
        <f ca="1">IFERROR(__xludf.DUMMYFUNCTION("""COMPUTED_VALUE"""),"ГИПС ПР")</f>
        <v>ГИПС ПР</v>
      </c>
      <c r="H174">
        <f ca="1">IFERROR(__xludf.DUMMYFUNCTION("""COMPUTED_VALUE"""),65)</f>
        <v>65</v>
      </c>
      <c r="I174">
        <f ca="1">IFERROR(__xludf.DUMMYFUNCTION("""COMPUTED_VALUE"""),1163)</f>
        <v>1163</v>
      </c>
      <c r="J174" t="str">
        <f ca="1">IFERROR(__xludf.DUMMYFUNCTION("""COMPUTED_VALUE"""),"4831 (49640-037-49460)  - БАХМУТ")</f>
        <v>4831 (49640-037-49460)  - БАХМУТ</v>
      </c>
      <c r="K174">
        <f ca="1">IFERROR(__xludf.DUMMYFUNCTION("""COMPUTED_VALUE"""),49460)</f>
        <v>49460</v>
      </c>
      <c r="L174" t="str">
        <f ca="1">IFERROR(__xludf.DUMMYFUNCTION("""COMPUTED_VALUE"""),"БАХМУТ")</f>
        <v>БАХМУТ</v>
      </c>
      <c r="M174" t="str">
        <f ca="1">IFERROR(__xludf.DUMMYFUNCTION("""COMPUTED_VALUE"""),"12.08.21 07-00")</f>
        <v>12.08.21 07-00</v>
      </c>
      <c r="N174" t="str">
        <f ca="1">IFERROR(__xludf.DUMMYFUNCTION("""COMPUTED_VALUE"""),"04 РАСФ")</f>
        <v>04 РАСФ</v>
      </c>
      <c r="O174">
        <f ca="1">IFERROR(__xludf.DUMMYFUNCTION("""COMPUTED_VALUE"""),48560)</f>
        <v>48560</v>
      </c>
      <c r="P174" t="str">
        <f ca="1">IFERROR(__xludf.DUMMYFUNCTION("""COMPUTED_VALUE"""),"МАРИУП-СОРТ")</f>
        <v>МАРИУП-СОРТ</v>
      </c>
      <c r="Q174">
        <f ca="1">IFERROR(__xludf.DUMMYFUNCTION("""COMPUTED_VALUE"""),49620)</f>
        <v>49620</v>
      </c>
      <c r="R174" t="str">
        <f ca="1">IFERROR(__xludf.DUMMYFUNCTION("""COMPUTED_VALUE"""),"ДЕКОНСКАЯ")</f>
        <v>ДЕКОНСКАЯ</v>
      </c>
      <c r="S174" t="str">
        <f ca="1">IFERROR(__xludf.DUMMYFUNCTION("""COMPUTED_VALUE"""),"11.08.21 20-10")</f>
        <v>11.08.21 20-10</v>
      </c>
      <c r="T174">
        <f ca="1">IFERROR(__xludf.DUMMYFUNCTION("""COMPUTED_VALUE"""),4149)</f>
        <v>4149</v>
      </c>
      <c r="U174" t="str">
        <f ca="1">IFERROR(__xludf.DUMMYFUNCTION("""COMPUTED_VALUE"""),"04.04.2022 ДР")</f>
        <v>04.04.2022 ДР</v>
      </c>
      <c r="Z174" t="str">
        <f ca="1">IFERROR(__xludf.DUMMYFUNCTION("""COMPUTED_VALUE"""),"ООО «КЕРРИЛАЙН»")</f>
        <v>ООО «КЕРРИЛАЙН»</v>
      </c>
      <c r="AA174" t="str">
        <f ca="1">IFERROR(__xludf.DUMMYFUNCTION("""COMPUTED_VALUE"""),"11-270")</f>
        <v>11-270</v>
      </c>
      <c r="AB174" t="str">
        <f ca="1">IFERROR(__xludf.DUMMYFUNCTION("""COMPUTED_VALUE"""),"48 ДОН")</f>
        <v>48 ДОН</v>
      </c>
      <c r="AC174" t="str">
        <f ca="1">IFERROR(__xludf.DUMMYFUNCTION("""COMPUTED_VALUE"""),"49000 ЛИМАН")</f>
        <v>49000 ЛИМАН</v>
      </c>
      <c r="AD174" t="str">
        <f ca="1">IFERROR(__xludf.DUMMYFUNCTION("""COMPUTED_VALUE"""),"24.02.20 09-00")</f>
        <v>24.02.20 09-00</v>
      </c>
      <c r="AE174" t="str">
        <f ca="1">IFERROR(__xludf.DUMMYFUNCTION("""COMPUTED_VALUE"""),"537 НEИCПPAВНOCТЬ ЗAПOPA ДВEPИ")</f>
        <v>537 НEИCПPAВНOCТЬ ЗAПOPA ДВEPИ</v>
      </c>
      <c r="AF174" t="str">
        <f ca="1">IFERROR(__xludf.DUMMYFUNCTION("""COMPUTED_VALUE"""),"48 ДОН")</f>
        <v>48 ДОН</v>
      </c>
      <c r="AG174" t="str">
        <f ca="1">IFERROR(__xludf.DUMMYFUNCTION("""COMPUTED_VALUE"""),"49000 ЛИМАН")</f>
        <v>49000 ЛИМАН</v>
      </c>
      <c r="AH174" t="str">
        <f ca="1">IFERROR(__xludf.DUMMYFUNCTION("""COMPUTED_VALUE"""),"24.02.20 17-00")</f>
        <v>24.02.20 17-00</v>
      </c>
      <c r="AI174" s="21">
        <f ca="1">IFERROR(__xludf.DUMMYFUNCTION("""COMPUTED_VALUE"""),44420.357662037)</f>
        <v>44420.357662037</v>
      </c>
    </row>
    <row r="175" spans="1:35" ht="13" x14ac:dyDescent="0.15">
      <c r="A175">
        <f ca="1">IFERROR(__xludf.DUMMYFUNCTION("""COMPUTED_VALUE"""),412)</f>
        <v>412</v>
      </c>
      <c r="B175" t="str">
        <f ca="1">IFERROR(__xludf.DUMMYFUNCTION("""COMPUTED_VALUE"""),"Кнауф")</f>
        <v>Кнауф</v>
      </c>
      <c r="C175" t="str">
        <f ca="1">IFERROR(__xludf.DUMMYFUNCTION("""COMPUTED_VALUE"""),"Керрилайн РФ")</f>
        <v>Керрилайн РФ</v>
      </c>
      <c r="D175">
        <f ca="1">IFERROR(__xludf.DUMMYFUNCTION("""COMPUTED_VALUE"""),52582434)</f>
        <v>52582434</v>
      </c>
      <c r="E175" t="str">
        <f ca="1">IFERROR(__xludf.DUMMYFUNCTION("""COMPUTED_VALUE"""),"20 КРЫТЫЕ")</f>
        <v>20 КРЫТЫЕ</v>
      </c>
      <c r="F175">
        <f ca="1">IFERROR(__xludf.DUMMYFUNCTION("""COMPUTED_VALUE"""),42103)</f>
        <v>42103</v>
      </c>
      <c r="G175" t="str">
        <f ca="1">IFERROR(__xludf.DUMMYFUNCTION("""COMPUTED_VALUE"""),"ВАГОНЫ ЖД СВ")</f>
        <v>ВАГОНЫ ЖД СВ</v>
      </c>
      <c r="H175">
        <f ca="1">IFERROR(__xludf.DUMMYFUNCTION("""COMPUTED_VALUE"""),0)</f>
        <v>0</v>
      </c>
      <c r="I175">
        <f ca="1">IFERROR(__xludf.DUMMYFUNCTION("""COMPUTED_VALUE"""),4149)</f>
        <v>4149</v>
      </c>
      <c r="J175" t="str">
        <f ca="1">IFERROR(__xludf.DUMMYFUNCTION("""COMPUTED_VALUE"""),"3632 (32040-006-32000) ГРУШКИ - ДАРНИЦА")</f>
        <v>3632 (32040-006-32000) ГРУШКИ - ДАРНИЦА</v>
      </c>
      <c r="K175">
        <f ca="1">IFERROR(__xludf.DUMMYFUNCTION("""COMPUTED_VALUE"""),32000)</f>
        <v>32000</v>
      </c>
      <c r="L175" t="str">
        <f ca="1">IFERROR(__xludf.DUMMYFUNCTION("""COMPUTED_VALUE"""),"ДАРНИЦА")</f>
        <v>ДАРНИЦА</v>
      </c>
      <c r="M175" t="str">
        <f ca="1">IFERROR(__xludf.DUMMYFUNCTION("""COMPUTED_VALUE"""),"12.08.21 01-01")</f>
        <v>12.08.21 01-01</v>
      </c>
      <c r="N175" t="str">
        <f ca="1">IFERROR(__xludf.DUMMYFUNCTION("""COMPUTED_VALUE"""),"04 РАСФ")</f>
        <v>04 РАСФ</v>
      </c>
      <c r="O175">
        <f ca="1">IFERROR(__xludf.DUMMYFUNCTION("""COMPUTED_VALUE"""),49620)</f>
        <v>49620</v>
      </c>
      <c r="P175" t="str">
        <f ca="1">IFERROR(__xludf.DUMMYFUNCTION("""COMPUTED_VALUE"""),"ДЕКОНСКАЯ")</f>
        <v>ДЕКОНСКАЯ</v>
      </c>
      <c r="Q175">
        <f ca="1">IFERROR(__xludf.DUMMYFUNCTION("""COMPUTED_VALUE"""),32040)</f>
        <v>32040</v>
      </c>
      <c r="R175" t="str">
        <f ca="1">IFERROR(__xludf.DUMMYFUNCTION("""COMPUTED_VALUE"""),"ГРУШКИ")</f>
        <v>ГРУШКИ</v>
      </c>
      <c r="S175" t="str">
        <f ca="1">IFERROR(__xludf.DUMMYFUNCTION("""COMPUTED_VALUE"""),"08.08.21 14-15")</f>
        <v>08.08.21 14-15</v>
      </c>
      <c r="T175">
        <f ca="1">IFERROR(__xludf.DUMMYFUNCTION("""COMPUTED_VALUE"""),3314)</f>
        <v>3314</v>
      </c>
      <c r="U175" t="str">
        <f ca="1">IFERROR(__xludf.DUMMYFUNCTION("""COMPUTED_VALUE"""),"04.04.2022 ДР")</f>
        <v>04.04.2022 ДР</v>
      </c>
      <c r="Z175" t="str">
        <f ca="1">IFERROR(__xludf.DUMMYFUNCTION("""COMPUTED_VALUE"""),"ООО «КЕРРИЛАЙН»")</f>
        <v>ООО «КЕРРИЛАЙН»</v>
      </c>
      <c r="AA175" t="str">
        <f ca="1">IFERROR(__xludf.DUMMYFUNCTION("""COMPUTED_VALUE"""),"11-270")</f>
        <v>11-270</v>
      </c>
      <c r="AB175" t="str">
        <f ca="1">IFERROR(__xludf.DUMMYFUNCTION("""COMPUTED_VALUE"""),"48 ДОН")</f>
        <v>48 ДОН</v>
      </c>
      <c r="AC175" t="str">
        <f ca="1">IFERROR(__xludf.DUMMYFUNCTION("""COMPUTED_VALUE"""),"49120 КОНСТАНТИНОВ")</f>
        <v>49120 КОНСТАНТИНОВ</v>
      </c>
      <c r="AD175" t="str">
        <f ca="1">IFERROR(__xludf.DUMMYFUNCTION("""COMPUTED_VALUE"""),"18.04.21 10-35")</f>
        <v>18.04.21 10-35</v>
      </c>
      <c r="AE175" t="str">
        <f ca="1">IFERROR(__xludf.DUMMYFUNCTION("""COMPUTED_VALUE"""),"213 ОТСУТСТВИЕ/CМEЩEНИE ПPУЖИН")</f>
        <v>213 ОТСУТСТВИЕ/CМEЩEНИE ПPУЖИН</v>
      </c>
      <c r="AF175" t="str">
        <f ca="1">IFERROR(__xludf.DUMMYFUNCTION("""COMPUTED_VALUE"""),"48 ДОН")</f>
        <v>48 ДОН</v>
      </c>
      <c r="AG175" t="str">
        <f ca="1">IFERROR(__xludf.DUMMYFUNCTION("""COMPUTED_VALUE"""),"49120 КОНСТАНТИНОВ")</f>
        <v>49120 КОНСТАНТИНОВ</v>
      </c>
      <c r="AH175" t="str">
        <f ca="1">IFERROR(__xludf.DUMMYFUNCTION("""COMPUTED_VALUE"""),"27.04.21 17-00")</f>
        <v>27.04.21 17-00</v>
      </c>
      <c r="AI175" s="21">
        <f ca="1">IFERROR(__xludf.DUMMYFUNCTION("""COMPUTED_VALUE"""),44420.357662037)</f>
        <v>44420.357662037</v>
      </c>
    </row>
    <row r="176" spans="1:35" ht="13" x14ac:dyDescent="0.15">
      <c r="A176">
        <f ca="1">IFERROR(__xludf.DUMMYFUNCTION("""COMPUTED_VALUE"""),413)</f>
        <v>413</v>
      </c>
      <c r="B176" t="str">
        <f ca="1">IFERROR(__xludf.DUMMYFUNCTION("""COMPUTED_VALUE"""),"Кнауф")</f>
        <v>Кнауф</v>
      </c>
      <c r="C176" t="str">
        <f ca="1">IFERROR(__xludf.DUMMYFUNCTION("""COMPUTED_VALUE"""),"Керрилайн")</f>
        <v>Керрилайн</v>
      </c>
      <c r="D176">
        <f ca="1">IFERROR(__xludf.DUMMYFUNCTION("""COMPUTED_VALUE"""),52544517)</f>
        <v>52544517</v>
      </c>
      <c r="E176" t="str">
        <f ca="1">IFERROR(__xludf.DUMMYFUNCTION("""COMPUTED_VALUE"""),"20 КРЫТЫЕ")</f>
        <v>20 КРЫТЫЕ</v>
      </c>
      <c r="F176">
        <f ca="1">IFERROR(__xludf.DUMMYFUNCTION("""COMPUTED_VALUE"""),42103)</f>
        <v>42103</v>
      </c>
      <c r="G176" t="str">
        <f ca="1">IFERROR(__xludf.DUMMYFUNCTION("""COMPUTED_VALUE"""),"ВАГОНЫ ЖД СВ")</f>
        <v>ВАГОНЫ ЖД СВ</v>
      </c>
      <c r="H176">
        <f ca="1">IFERROR(__xludf.DUMMYFUNCTION("""COMPUTED_VALUE"""),0)</f>
        <v>0</v>
      </c>
      <c r="I176">
        <f ca="1">IFERROR(__xludf.DUMMYFUNCTION("""COMPUTED_VALUE"""),4149)</f>
        <v>4149</v>
      </c>
      <c r="J176" t="str">
        <f ca="1">IFERROR(__xludf.DUMMYFUNCTION("""COMPUTED_VALUE"""),"3802 (49460-047-49640) БАХМУТ -")</f>
        <v>3802 (49460-047-49640) БАХМУТ -</v>
      </c>
      <c r="K176">
        <f ca="1">IFERROR(__xludf.DUMMYFUNCTION("""COMPUTED_VALUE"""),49620)</f>
        <v>49620</v>
      </c>
      <c r="L176" t="str">
        <f ca="1">IFERROR(__xludf.DUMMYFUNCTION("""COMPUTED_VALUE"""),"ДЕКОНСКАЯ")</f>
        <v>ДЕКОНСКАЯ</v>
      </c>
      <c r="M176" t="str">
        <f ca="1">IFERROR(__xludf.DUMMYFUNCTION("""COMPUTED_VALUE"""),"12.08.21 04-36")</f>
        <v>12.08.21 04-36</v>
      </c>
      <c r="N176" t="str">
        <f ca="1">IFERROR(__xludf.DUMMYFUNCTION("""COMPUTED_VALUE"""),"04 РАСФ")</f>
        <v>04 РАСФ</v>
      </c>
      <c r="O176">
        <f ca="1">IFERROR(__xludf.DUMMYFUNCTION("""COMPUTED_VALUE"""),49620)</f>
        <v>49620</v>
      </c>
      <c r="P176" t="str">
        <f ca="1">IFERROR(__xludf.DUMMYFUNCTION("""COMPUTED_VALUE"""),"ДЕКОНСКАЯ")</f>
        <v>ДЕКОНСКАЯ</v>
      </c>
      <c r="Q176">
        <f ca="1">IFERROR(__xludf.DUMMYFUNCTION("""COMPUTED_VALUE"""),49120)</f>
        <v>49120</v>
      </c>
      <c r="R176" t="str">
        <f ca="1">IFERROR(__xludf.DUMMYFUNCTION("""COMPUTED_VALUE"""),"КОНСТАНТИНОВ")</f>
        <v>КОНСТАНТИНОВ</v>
      </c>
      <c r="S176" t="str">
        <f ca="1">IFERROR(__xludf.DUMMYFUNCTION("""COMPUTED_VALUE"""),"09.08.21 14-30")</f>
        <v>09.08.21 14-30</v>
      </c>
      <c r="T176">
        <f ca="1">IFERROR(__xludf.DUMMYFUNCTION("""COMPUTED_VALUE"""),8200)</f>
        <v>8200</v>
      </c>
      <c r="U176" t="str">
        <f ca="1">IFERROR(__xludf.DUMMYFUNCTION("""COMPUTED_VALUE"""),"04.04.2022 ДР")</f>
        <v>04.04.2022 ДР</v>
      </c>
      <c r="Z176" t="str">
        <f ca="1">IFERROR(__xludf.DUMMYFUNCTION("""COMPUTED_VALUE"""),"ООО «КЕРРИЛАЙН»")</f>
        <v>ООО «КЕРРИЛАЙН»</v>
      </c>
      <c r="AA176" t="str">
        <f ca="1">IFERROR(__xludf.DUMMYFUNCTION("""COMPUTED_VALUE"""),"11-270")</f>
        <v>11-270</v>
      </c>
      <c r="AB176" t="str">
        <f ca="1">IFERROR(__xludf.DUMMYFUNCTION("""COMPUTED_VALUE"""),"48 ДОН")</f>
        <v>48 ДОН</v>
      </c>
      <c r="AC176" t="str">
        <f ca="1">IFERROR(__xludf.DUMMYFUNCTION("""COMPUTED_VALUE"""),"49620 ДЕКОНСКАЯ")</f>
        <v>49620 ДЕКОНСКАЯ</v>
      </c>
      <c r="AD176" t="str">
        <f ca="1">IFERROR(__xludf.DUMMYFUNCTION("""COMPUTED_VALUE"""),"24.05.20 13-28")</f>
        <v>24.05.20 13-28</v>
      </c>
      <c r="AE176" t="str">
        <f ca="1">IFERROR(__xludf.DUMMYFUNCTION("""COMPUTED_VALUE"""),"537 НEИCПPAВНOCТЬ ЗAПOPA ДВEPИ")</f>
        <v>537 НEИCПPAВНOCТЬ ЗAПOPA ДВEPИ</v>
      </c>
      <c r="AF176" t="str">
        <f ca="1">IFERROR(__xludf.DUMMYFUNCTION("""COMPUTED_VALUE"""),"48 ДОН")</f>
        <v>48 ДОН</v>
      </c>
      <c r="AG176" t="str">
        <f ca="1">IFERROR(__xludf.DUMMYFUNCTION("""COMPUTED_VALUE"""),"49620 ДЕКОНСКАЯ")</f>
        <v>49620 ДЕКОНСКАЯ</v>
      </c>
      <c r="AH176" t="str">
        <f ca="1">IFERROR(__xludf.DUMMYFUNCTION("""COMPUTED_VALUE"""),"25.05.20 10-45")</f>
        <v>25.05.20 10-45</v>
      </c>
      <c r="AI176" s="21">
        <f ca="1">IFERROR(__xludf.DUMMYFUNCTION("""COMPUTED_VALUE"""),44420.357662037)</f>
        <v>44420.357662037</v>
      </c>
    </row>
    <row r="177" spans="1:35" ht="13" x14ac:dyDescent="0.15">
      <c r="A177">
        <f ca="1">IFERROR(__xludf.DUMMYFUNCTION("""COMPUTED_VALUE"""),414)</f>
        <v>414</v>
      </c>
      <c r="B177" t="str">
        <f ca="1">IFERROR(__xludf.DUMMYFUNCTION("""COMPUTED_VALUE"""),"Кнауф")</f>
        <v>Кнауф</v>
      </c>
      <c r="C177" t="str">
        <f ca="1">IFERROR(__xludf.DUMMYFUNCTION("""COMPUTED_VALUE"""),"Керрилайн")</f>
        <v>Керрилайн</v>
      </c>
      <c r="D177">
        <f ca="1">IFERROR(__xludf.DUMMYFUNCTION("""COMPUTED_VALUE"""),52544483)</f>
        <v>52544483</v>
      </c>
      <c r="E177" t="str">
        <f ca="1">IFERROR(__xludf.DUMMYFUNCTION("""COMPUTED_VALUE"""),"20 КРЫТЫЕ")</f>
        <v>20 КРЫТЫЕ</v>
      </c>
      <c r="F177">
        <f ca="1">IFERROR(__xludf.DUMMYFUNCTION("""COMPUTED_VALUE"""),42103)</f>
        <v>42103</v>
      </c>
      <c r="G177" t="str">
        <f ca="1">IFERROR(__xludf.DUMMYFUNCTION("""COMPUTED_VALUE"""),"ВАГОНЫ ЖД СВ")</f>
        <v>ВАГОНЫ ЖД СВ</v>
      </c>
      <c r="H177">
        <f ca="1">IFERROR(__xludf.DUMMYFUNCTION("""COMPUTED_VALUE"""),0)</f>
        <v>0</v>
      </c>
      <c r="I177">
        <f ca="1">IFERROR(__xludf.DUMMYFUNCTION("""COMPUTED_VALUE"""),8199)</f>
        <v>8199</v>
      </c>
      <c r="J177" t="str">
        <f ca="1">IFERROR(__xludf.DUMMYFUNCTION("""COMPUTED_VALUE"""),"3652 (37000-726-37040) ЛЬВОВ - КЛЕПАРОВ")</f>
        <v>3652 (37000-726-37040) ЛЬВОВ - КЛЕПАРОВ</v>
      </c>
      <c r="K177">
        <f ca="1">IFERROR(__xludf.DUMMYFUNCTION("""COMPUTED_VALUE"""),37040)</f>
        <v>37040</v>
      </c>
      <c r="L177" t="str">
        <f ca="1">IFERROR(__xludf.DUMMYFUNCTION("""COMPUTED_VALUE"""),"КЛЕПАРОВ")</f>
        <v>КЛЕПАРОВ</v>
      </c>
      <c r="M177" t="str">
        <f ca="1">IFERROR(__xludf.DUMMYFUNCTION("""COMPUTED_VALUE"""),"12.08.21 03-30")</f>
        <v>12.08.21 03-30</v>
      </c>
      <c r="N177" t="str">
        <f ca="1">IFERROR(__xludf.DUMMYFUNCTION("""COMPUTED_VALUE"""),"01 ПРИБ")</f>
        <v>01 ПРИБ</v>
      </c>
      <c r="O177">
        <f ca="1">IFERROR(__xludf.DUMMYFUNCTION("""COMPUTED_VALUE"""),38830)</f>
        <v>38830</v>
      </c>
      <c r="P177" t="str">
        <f ca="1">IFERROR(__xludf.DUMMYFUNCTION("""COMPUTED_VALUE"""),"ЯМНИЦА")</f>
        <v>ЯМНИЦА</v>
      </c>
      <c r="Q177">
        <f ca="1">IFERROR(__xludf.DUMMYFUNCTION("""COMPUTED_VALUE"""),37030)</f>
        <v>37030</v>
      </c>
      <c r="R177" t="str">
        <f ca="1">IFERROR(__xludf.DUMMYFUNCTION("""COMPUTED_VALUE"""),"СКНИЛОВ")</f>
        <v>СКНИЛОВ</v>
      </c>
      <c r="S177" t="str">
        <f ca="1">IFERROR(__xludf.DUMMYFUNCTION("""COMPUTED_VALUE"""),"07.08.21 14-00")</f>
        <v>07.08.21 14-00</v>
      </c>
      <c r="T177">
        <f ca="1">IFERROR(__xludf.DUMMYFUNCTION("""COMPUTED_VALUE"""),8200)</f>
        <v>8200</v>
      </c>
      <c r="U177" t="str">
        <f ca="1">IFERROR(__xludf.DUMMYFUNCTION("""COMPUTED_VALUE"""),"08.04.2022 ДР")</f>
        <v>08.04.2022 ДР</v>
      </c>
      <c r="Z177" t="str">
        <f ca="1">IFERROR(__xludf.DUMMYFUNCTION("""COMPUTED_VALUE"""),"ООО «КЕРРИЛАЙН»")</f>
        <v>ООО «КЕРРИЛАЙН»</v>
      </c>
      <c r="AA177" t="str">
        <f ca="1">IFERROR(__xludf.DUMMYFUNCTION("""COMPUTED_VALUE"""),"11-270")</f>
        <v>11-270</v>
      </c>
      <c r="AB177" t="str">
        <f ca="1">IFERROR(__xludf.DUMMYFUNCTION("""COMPUTED_VALUE"""),"48 ДОН")</f>
        <v>48 ДОН</v>
      </c>
      <c r="AC177" t="str">
        <f ca="1">IFERROR(__xludf.DUMMYFUNCTION("""COMPUTED_VALUE"""),"49000 ЛИМАН")</f>
        <v>49000 ЛИМАН</v>
      </c>
      <c r="AD177" t="str">
        <f ca="1">IFERROR(__xludf.DUMMYFUNCTION("""COMPUTED_VALUE"""),"14.02.21 10-00")</f>
        <v>14.02.21 10-00</v>
      </c>
      <c r="AE177" t="str">
        <f ca="1">IFERROR(__xludf.DUMMYFUNCTION("""COMPUTED_VALUE"""),"537 НEИCПPAВНOCТЬ ЗAПOPA ДВEPИ")</f>
        <v>537 НEИCПPAВНOCТЬ ЗAПOPA ДВEPИ</v>
      </c>
      <c r="AF177" t="str">
        <f ca="1">IFERROR(__xludf.DUMMYFUNCTION("""COMPUTED_VALUE"""),"48 ДОН")</f>
        <v>48 ДОН</v>
      </c>
      <c r="AG177" t="str">
        <f ca="1">IFERROR(__xludf.DUMMYFUNCTION("""COMPUTED_VALUE"""),"49000 ЛИМАН")</f>
        <v>49000 ЛИМАН</v>
      </c>
      <c r="AH177" t="str">
        <f ca="1">IFERROR(__xludf.DUMMYFUNCTION("""COMPUTED_VALUE"""),"15.02.21 17-00")</f>
        <v>15.02.21 17-00</v>
      </c>
      <c r="AI177" s="21">
        <f ca="1">IFERROR(__xludf.DUMMYFUNCTION("""COMPUTED_VALUE"""),44420.357662037)</f>
        <v>44420.357662037</v>
      </c>
    </row>
    <row r="178" spans="1:35" ht="13" x14ac:dyDescent="0.15">
      <c r="A178">
        <f ca="1">IFERROR(__xludf.DUMMYFUNCTION("""COMPUTED_VALUE"""),415)</f>
        <v>415</v>
      </c>
      <c r="B178" t="str">
        <f ca="1">IFERROR(__xludf.DUMMYFUNCTION("""COMPUTED_VALUE"""),"Кнауф")</f>
        <v>Кнауф</v>
      </c>
      <c r="C178" t="str">
        <f ca="1">IFERROR(__xludf.DUMMYFUNCTION("""COMPUTED_VALUE"""),"Керрилайн")</f>
        <v>Керрилайн</v>
      </c>
      <c r="D178">
        <f ca="1">IFERROR(__xludf.DUMMYFUNCTION("""COMPUTED_VALUE"""),52577657)</f>
        <v>52577657</v>
      </c>
      <c r="E178" t="str">
        <f ca="1">IFERROR(__xludf.DUMMYFUNCTION("""COMPUTED_VALUE"""),"20 КРЫТЫЕ")</f>
        <v>20 КРЫТЫЕ</v>
      </c>
      <c r="F178">
        <f ca="1">IFERROR(__xludf.DUMMYFUNCTION("""COMPUTED_VALUE"""),42103)</f>
        <v>42103</v>
      </c>
      <c r="G178" t="str">
        <f ca="1">IFERROR(__xludf.DUMMYFUNCTION("""COMPUTED_VALUE"""),"ВАГОНЫ ЖД СВ")</f>
        <v>ВАГОНЫ ЖД СВ</v>
      </c>
      <c r="H178">
        <f ca="1">IFERROR(__xludf.DUMMYFUNCTION("""COMPUTED_VALUE"""),0)</f>
        <v>0</v>
      </c>
      <c r="I178">
        <f ca="1">IFERROR(__xludf.DUMMYFUNCTION("""COMPUTED_VALUE"""),8199)</f>
        <v>8199</v>
      </c>
      <c r="J178" t="str">
        <f ca="1">IFERROR(__xludf.DUMMYFUNCTION("""COMPUTED_VALUE"""),"2749 (33000-312-36000) ЖМЕРИНКА - ТЕРНОПОЛЬ")</f>
        <v>2749 (33000-312-36000) ЖМЕРИНКА - ТЕРНОПОЛЬ</v>
      </c>
      <c r="K178">
        <f ca="1">IFERROR(__xludf.DUMMYFUNCTION("""COMPUTED_VALUE"""),36000)</f>
        <v>36000</v>
      </c>
      <c r="L178" t="str">
        <f ca="1">IFERROR(__xludf.DUMMYFUNCTION("""COMPUTED_VALUE"""),"ТЕРНОПОЛЬ")</f>
        <v>ТЕРНОПОЛЬ</v>
      </c>
      <c r="M178" t="str">
        <f ca="1">IFERROR(__xludf.DUMMYFUNCTION("""COMPUTED_VALUE"""),"11.08.21 19-20")</f>
        <v>11.08.21 19-20</v>
      </c>
      <c r="N178" t="str">
        <f ca="1">IFERROR(__xludf.DUMMYFUNCTION("""COMPUTED_VALUE"""),"92 ЗДРЖ")</f>
        <v>92 ЗДРЖ</v>
      </c>
      <c r="O178">
        <f ca="1">IFERROR(__xludf.DUMMYFUNCTION("""COMPUTED_VALUE"""),38830)</f>
        <v>38830</v>
      </c>
      <c r="P178" t="str">
        <f ca="1">IFERROR(__xludf.DUMMYFUNCTION("""COMPUTED_VALUE"""),"ЯМНИЦА")</f>
        <v>ЯМНИЦА</v>
      </c>
      <c r="Q178">
        <f ca="1">IFERROR(__xludf.DUMMYFUNCTION("""COMPUTED_VALUE"""),36000)</f>
        <v>36000</v>
      </c>
      <c r="R178" t="str">
        <f ca="1">IFERROR(__xludf.DUMMYFUNCTION("""COMPUTED_VALUE"""),"ТЕРНОПОЛЬ")</f>
        <v>ТЕРНОПОЛЬ</v>
      </c>
      <c r="S178" t="str">
        <f ca="1">IFERROR(__xludf.DUMMYFUNCTION("""COMPUTED_VALUE"""),"11.08.21 19-20")</f>
        <v>11.08.21 19-20</v>
      </c>
      <c r="T178">
        <f ca="1">IFERROR(__xludf.DUMMYFUNCTION("""COMPUTED_VALUE"""),8200)</f>
        <v>8200</v>
      </c>
      <c r="U178" t="str">
        <f ca="1">IFERROR(__xludf.DUMMYFUNCTION("""COMPUTED_VALUE"""),"18.04.2022 ДР")</f>
        <v>18.04.2022 ДР</v>
      </c>
      <c r="Z178" t="str">
        <f ca="1">IFERROR(__xludf.DUMMYFUNCTION("""COMPUTED_VALUE"""),"ООО «КЕРРИЛАЙН»")</f>
        <v>ООО «КЕРРИЛАЙН»</v>
      </c>
      <c r="AA178" t="str">
        <f ca="1">IFERROR(__xludf.DUMMYFUNCTION("""COMPUTED_VALUE"""),"11-217")</f>
        <v>11-217</v>
      </c>
      <c r="AB178" t="str">
        <f ca="1">IFERROR(__xludf.DUMMYFUNCTION("""COMPUTED_VALUE"""),"48 ДОН")</f>
        <v>48 ДОН</v>
      </c>
      <c r="AC178" t="str">
        <f ca="1">IFERROR(__xludf.DUMMYFUNCTION("""COMPUTED_VALUE"""),"49000 ЛИМАН")</f>
        <v>49000 ЛИМАН</v>
      </c>
      <c r="AD178" t="str">
        <f ca="1">IFERROR(__xludf.DUMMYFUNCTION("""COMPUTED_VALUE"""),"15.06.21 22-10")</f>
        <v>15.06.21 22-10</v>
      </c>
      <c r="AE178" t="str">
        <f ca="1">IFERROR(__xludf.DUMMYFUNCTION("""COMPUTED_VALUE"""),"563")</f>
        <v>563</v>
      </c>
      <c r="AF178" t="str">
        <f ca="1">IFERROR(__xludf.DUMMYFUNCTION("""COMPUTED_VALUE"""),"48 ДОН")</f>
        <v>48 ДОН</v>
      </c>
      <c r="AG178" t="str">
        <f ca="1">IFERROR(__xludf.DUMMYFUNCTION("""COMPUTED_VALUE"""),"49000 ЛИМАН")</f>
        <v>49000 ЛИМАН</v>
      </c>
      <c r="AH178" t="str">
        <f ca="1">IFERROR(__xludf.DUMMYFUNCTION("""COMPUTED_VALUE"""),"16.06.21 17-00")</f>
        <v>16.06.21 17-00</v>
      </c>
      <c r="AI178" s="21">
        <f ca="1">IFERROR(__xludf.DUMMYFUNCTION("""COMPUTED_VALUE"""),44420.357662037)</f>
        <v>44420.357662037</v>
      </c>
    </row>
    <row r="179" spans="1:35" ht="13" x14ac:dyDescent="0.15">
      <c r="A179">
        <f ca="1">IFERROR(__xludf.DUMMYFUNCTION("""COMPUTED_VALUE"""),436)</f>
        <v>436</v>
      </c>
      <c r="B179" t="str">
        <f ca="1">IFERROR(__xludf.DUMMYFUNCTION("""COMPUTED_VALUE"""),"Кнауф")</f>
        <v>Кнауф</v>
      </c>
      <c r="C179" t="str">
        <f ca="1">IFERROR(__xludf.DUMMYFUNCTION("""COMPUTED_VALUE"""),"АССТРА")</f>
        <v>АССТРА</v>
      </c>
      <c r="D179">
        <f ca="1">IFERROR(__xludf.DUMMYFUNCTION("""COMPUTED_VALUE"""),52142601)</f>
        <v>52142601</v>
      </c>
      <c r="E179" t="str">
        <f ca="1">IFERROR(__xludf.DUMMYFUNCTION("""COMPUTED_VALUE"""),"28 КРЫТЫЕ_138")</f>
        <v>28 КРЫТЫЕ_138</v>
      </c>
      <c r="F179">
        <f ca="1">IFERROR(__xludf.DUMMYFUNCTION("""COMPUTED_VALUE"""),28114)</f>
        <v>28114</v>
      </c>
      <c r="G179" t="str">
        <f ca="1">IFERROR(__xludf.DUMMYFUNCTION("""COMPUTED_VALUE"""),"ЦЕМЕНТ ПР")</f>
        <v>ЦЕМЕНТ ПР</v>
      </c>
      <c r="H179">
        <f ca="1">IFERROR(__xludf.DUMMYFUNCTION("""COMPUTED_VALUE"""),67)</f>
        <v>67</v>
      </c>
      <c r="I179">
        <f ca="1">IFERROR(__xludf.DUMMYFUNCTION("""COMPUTED_VALUE"""),1744)</f>
        <v>1744</v>
      </c>
      <c r="J179" t="str">
        <f ca="1">IFERROR(__xludf.DUMMYFUNCTION("""COMPUTED_VALUE"""),"4832 (49210-076-49200) СЛАВЯНСК-ВЕТ - СЛАВЯНСК")</f>
        <v>4832 (49210-076-49200) СЛАВЯНСК-ВЕТ - СЛАВЯНСК</v>
      </c>
      <c r="K179">
        <f ca="1">IFERROR(__xludf.DUMMYFUNCTION("""COMPUTED_VALUE"""),49210)</f>
        <v>49210</v>
      </c>
      <c r="L179" t="str">
        <f ca="1">IFERROR(__xludf.DUMMYFUNCTION("""COMPUTED_VALUE"""),"СЛАВЯНСК-ВЕТ")</f>
        <v>СЛАВЯНСК-ВЕТ</v>
      </c>
      <c r="M179" t="str">
        <f ca="1">IFERROR(__xludf.DUMMYFUNCTION("""COMPUTED_VALUE"""),"11.08.21 16-00")</f>
        <v>11.08.21 16-00</v>
      </c>
      <c r="N179" t="str">
        <f ca="1">IFERROR(__xludf.DUMMYFUNCTION("""COMPUTED_VALUE"""),"21 ВЫГ2")</f>
        <v>21 ВЫГ2</v>
      </c>
      <c r="O179">
        <f ca="1">IFERROR(__xludf.DUMMYFUNCTION("""COMPUTED_VALUE"""),49210)</f>
        <v>49210</v>
      </c>
      <c r="P179" t="str">
        <f ca="1">IFERROR(__xludf.DUMMYFUNCTION("""COMPUTED_VALUE"""),"СЛАВЯНСК-ВЕТ")</f>
        <v>СЛАВЯНСК-ВЕТ</v>
      </c>
      <c r="Q179">
        <f ca="1">IFERROR(__xludf.DUMMYFUNCTION("""COMPUTED_VALUE"""),38830)</f>
        <v>38830</v>
      </c>
      <c r="R179" t="str">
        <f ca="1">IFERROR(__xludf.DUMMYFUNCTION("""COMPUTED_VALUE"""),"ЯМНИЦА")</f>
        <v>ЯМНИЦА</v>
      </c>
      <c r="S179" t="str">
        <f ca="1">IFERROR(__xludf.DUMMYFUNCTION("""COMPUTED_VALUE"""),"30.07.21 20-30")</f>
        <v>30.07.21 20-30</v>
      </c>
      <c r="U179" t="str">
        <f ca="1">IFERROR(__xludf.DUMMYFUNCTION("""COMPUTED_VALUE"""),"10.11.2021 КР")</f>
        <v>10.11.2021 КР</v>
      </c>
      <c r="Z179" t="str">
        <f ca="1">IFERROR(__xludf.DUMMYFUNCTION("""COMPUTED_VALUE"""),"ООО «БГС РЕЙЛ»")</f>
        <v>ООО «БГС РЕЙЛ»</v>
      </c>
      <c r="AA179" t="str">
        <f ca="1">IFERROR(__xludf.DUMMYFUNCTION("""COMPUTED_VALUE"""),"11-286")</f>
        <v>11-286</v>
      </c>
      <c r="AB179" t="str">
        <f ca="1">IFERROR(__xludf.DUMMYFUNCTION("""COMPUTED_VALUE"""),"48 ДОН")</f>
        <v>48 ДОН</v>
      </c>
      <c r="AC179" t="str">
        <f ca="1">IFERROR(__xludf.DUMMYFUNCTION("""COMPUTED_VALUE"""),"49480 СОЛЬ")</f>
        <v>49480 СОЛЬ</v>
      </c>
      <c r="AD179" t="str">
        <f ca="1">IFERROR(__xludf.DUMMYFUNCTION("""COMPUTED_VALUE"""),"05.06.21 05-10")</f>
        <v>05.06.21 05-10</v>
      </c>
      <c r="AE179" t="str">
        <f ca="1">IFERROR(__xludf.DUMMYFUNCTION("""COMPUTED_VALUE"""),"563")</f>
        <v>563</v>
      </c>
      <c r="AF179" t="str">
        <f ca="1">IFERROR(__xludf.DUMMYFUNCTION("""COMPUTED_VALUE"""),"48 ДОН")</f>
        <v>48 ДОН</v>
      </c>
      <c r="AG179" t="str">
        <f ca="1">IFERROR(__xludf.DUMMYFUNCTION("""COMPUTED_VALUE"""),"49480 СОЛЬ")</f>
        <v>49480 СОЛЬ</v>
      </c>
      <c r="AH179" t="str">
        <f ca="1">IFERROR(__xludf.DUMMYFUNCTION("""COMPUTED_VALUE"""),"11.06.21 11-30")</f>
        <v>11.06.21 11-30</v>
      </c>
      <c r="AI179" s="21">
        <f ca="1">IFERROR(__xludf.DUMMYFUNCTION("""COMPUTED_VALUE"""),44420.357662037)</f>
        <v>44420.357662037</v>
      </c>
    </row>
    <row r="180" spans="1:35" ht="13" x14ac:dyDescent="0.15">
      <c r="A180">
        <f ca="1">IFERROR(__xludf.DUMMYFUNCTION("""COMPUTED_VALUE"""),439)</f>
        <v>439</v>
      </c>
      <c r="B180" t="str">
        <f ca="1">IFERROR(__xludf.DUMMYFUNCTION("""COMPUTED_VALUE"""),"Кнауф")</f>
        <v>Кнауф</v>
      </c>
      <c r="C180" t="str">
        <f ca="1">IFERROR(__xludf.DUMMYFUNCTION("""COMPUTED_VALUE"""),"Антранс")</f>
        <v>Антранс</v>
      </c>
      <c r="D180">
        <f ca="1">IFERROR(__xludf.DUMMYFUNCTION("""COMPUTED_VALUE"""),24055139)</f>
        <v>24055139</v>
      </c>
      <c r="E180" t="str">
        <f ca="1">IFERROR(__xludf.DUMMYFUNCTION("""COMPUTED_VALUE"""),"20 КРЫТЫЕ")</f>
        <v>20 КРЫТЫЕ</v>
      </c>
      <c r="F180">
        <f ca="1">IFERROR(__xludf.DUMMYFUNCTION("""COMPUTED_VALUE"""),13107)</f>
        <v>13107</v>
      </c>
      <c r="G180" t="str">
        <f ca="1">IFERROR(__xludf.DUMMYFUNCTION("""COMPUTED_VALUE"""),"ЦЕЛЛ СУЛФАТ БЕЛ")</f>
        <v>ЦЕЛЛ СУЛФАТ БЕЛ</v>
      </c>
      <c r="H180">
        <f ca="1">IFERROR(__xludf.DUMMYFUNCTION("""COMPUTED_VALUE"""),59)</f>
        <v>59</v>
      </c>
      <c r="I180">
        <f ca="1">IFERROR(__xludf.DUMMYFUNCTION("""COMPUTED_VALUE"""),5942)</f>
        <v>5942</v>
      </c>
      <c r="J180" t="str">
        <f ca="1">IFERROR(__xludf.DUMMYFUNCTION("""COMPUTED_VALUE"""),"2343 (15380-637-34630) КАЛИНКОВИЧИ - КОРОСТЕНЬ")</f>
        <v>2343 (15380-637-34630) КАЛИНКОВИЧИ - КОРОСТЕНЬ</v>
      </c>
      <c r="K180">
        <f ca="1">IFERROR(__xludf.DUMMYFUNCTION("""COMPUTED_VALUE"""),34630)</f>
        <v>34630</v>
      </c>
      <c r="L180" t="str">
        <f ca="1">IFERROR(__xludf.DUMMYFUNCTION("""COMPUTED_VALUE"""),"КОРОСТЕНЬ")</f>
        <v>КОРОСТЕНЬ</v>
      </c>
      <c r="M180" t="str">
        <f ca="1">IFERROR(__xludf.DUMMYFUNCTION("""COMPUTED_VALUE"""),"12.08.21 07-52")</f>
        <v>12.08.21 07-52</v>
      </c>
      <c r="N180" t="str">
        <f ca="1">IFERROR(__xludf.DUMMYFUNCTION("""COMPUTED_VALUE"""),"01 ПРИБ")</f>
        <v>01 ПРИБ</v>
      </c>
      <c r="O180">
        <f ca="1">IFERROR(__xludf.DUMMYFUNCTION("""COMPUTED_VALUE"""),49870)</f>
        <v>49870</v>
      </c>
      <c r="P180" t="str">
        <f ca="1">IFERROR(__xludf.DUMMYFUNCTION("""COMPUTED_VALUE"""),"РУБЕЖНОЕ")</f>
        <v>РУБЕЖНОЕ</v>
      </c>
      <c r="Q180">
        <f ca="1">IFERROR(__xludf.DUMMYFUNCTION("""COMPUTED_VALUE"""),15420)</f>
        <v>15420</v>
      </c>
      <c r="R180" t="str">
        <f ca="1">IFERROR(__xludf.DUMMYFUNCTION("""COMPUTED_VALUE"""),"СВЕТЛ-БЕРЕЗ")</f>
        <v>СВЕТЛ-БЕРЕЗ</v>
      </c>
      <c r="S180" t="str">
        <f ca="1">IFERROR(__xludf.DUMMYFUNCTION("""COMPUTED_VALUE"""),"11.08.21 20-30")</f>
        <v>11.08.21 20-30</v>
      </c>
      <c r="T180">
        <f ca="1">IFERROR(__xludf.DUMMYFUNCTION("""COMPUTED_VALUE"""),5321)</f>
        <v>5321</v>
      </c>
      <c r="U180" t="str">
        <f ca="1">IFERROR(__xludf.DUMMYFUNCTION("""COMPUTED_VALUE"""),"11.06.2022 ДР")</f>
        <v>11.06.2022 ДР</v>
      </c>
      <c r="Z180" t="str">
        <f ca="1">IFERROR(__xludf.DUMMYFUNCTION("""COMPUTED_VALUE"""),"ООО ""LDZ CARGO""")</f>
        <v>ООО "LDZ CARGO"</v>
      </c>
      <c r="AA180" t="str">
        <f ca="1">IFERROR(__xludf.DUMMYFUNCTION("""COMPUTED_VALUE"""),"11-217")</f>
        <v>11-217</v>
      </c>
      <c r="AI180" s="21">
        <f ca="1">IFERROR(__xludf.DUMMYFUNCTION("""COMPUTED_VALUE"""),44420.357662037)</f>
        <v>44420.357662037</v>
      </c>
    </row>
    <row r="181" spans="1:35" ht="13" x14ac:dyDescent="0.15">
      <c r="A181">
        <f ca="1">IFERROR(__xludf.DUMMYFUNCTION("""COMPUTED_VALUE"""),440)</f>
        <v>440</v>
      </c>
      <c r="B181" t="str">
        <f ca="1">IFERROR(__xludf.DUMMYFUNCTION("""COMPUTED_VALUE"""),"Кнауф")</f>
        <v>Кнауф</v>
      </c>
      <c r="C181" t="str">
        <f ca="1">IFERROR(__xludf.DUMMYFUNCTION("""COMPUTED_VALUE"""),"Антранс")</f>
        <v>Антранс</v>
      </c>
      <c r="D181">
        <f ca="1">IFERROR(__xludf.DUMMYFUNCTION("""COMPUTED_VALUE"""),24092413)</f>
        <v>24092413</v>
      </c>
      <c r="E181" t="str">
        <f ca="1">IFERROR(__xludf.DUMMYFUNCTION("""COMPUTED_VALUE"""),"20 КРЫТЫЕ")</f>
        <v>20 КРЫТЫЕ</v>
      </c>
      <c r="F181">
        <f ca="1">IFERROR(__xludf.DUMMYFUNCTION("""COMPUTED_VALUE"""),23304)</f>
        <v>23304</v>
      </c>
      <c r="G181" t="str">
        <f ca="1">IFERROR(__xludf.DUMMYFUNCTION("""COMPUTED_VALUE"""),"ГИПС ПР")</f>
        <v>ГИПС ПР</v>
      </c>
      <c r="H181">
        <f ca="1">IFERROR(__xludf.DUMMYFUNCTION("""COMPUTED_VALUE"""),66)</f>
        <v>66</v>
      </c>
      <c r="I181">
        <f ca="1">IFERROR(__xludf.DUMMYFUNCTION("""COMPUTED_VALUE"""),2429)</f>
        <v>2429</v>
      </c>
      <c r="J181" t="str">
        <f ca="1">IFERROR(__xludf.DUMMYFUNCTION("""COMPUTED_VALUE"""),"1111 (38850-064-36660) ХРЫПЛИН - ЧЕРНОВЦЫ")</f>
        <v>1111 (38850-064-36660) ХРЫПЛИН - ЧЕРНОВЦЫ</v>
      </c>
      <c r="K181">
        <f ca="1">IFERROR(__xludf.DUMMYFUNCTION("""COMPUTED_VALUE"""),38850)</f>
        <v>38850</v>
      </c>
      <c r="L181" t="str">
        <f ca="1">IFERROR(__xludf.DUMMYFUNCTION("""COMPUTED_VALUE"""),"ХРЫПЛИН")</f>
        <v>ХРЫПЛИН</v>
      </c>
      <c r="M181" t="str">
        <f ca="1">IFERROR(__xludf.DUMMYFUNCTION("""COMPUTED_VALUE"""),"12.08.21 05-43")</f>
        <v>12.08.21 05-43</v>
      </c>
      <c r="N181" t="str">
        <f ca="1">IFERROR(__xludf.DUMMYFUNCTION("""COMPUTED_VALUE"""),"04 РАСФ")</f>
        <v>04 РАСФ</v>
      </c>
      <c r="O181">
        <f ca="1">IFERROR(__xludf.DUMMYFUNCTION("""COMPUTED_VALUE"""),36820)</f>
        <v>36820</v>
      </c>
      <c r="P181" t="str">
        <f ca="1">IFERROR(__xludf.DUMMYFUNCTION("""COMPUTED_VALUE"""),"ЧЕРНОВЦЫ-ЮЖН")</f>
        <v>ЧЕРНОВЦЫ-ЮЖН</v>
      </c>
      <c r="Q181">
        <f ca="1">IFERROR(__xludf.DUMMYFUNCTION("""COMPUTED_VALUE"""),49620)</f>
        <v>49620</v>
      </c>
      <c r="R181" t="str">
        <f ca="1">IFERROR(__xludf.DUMMYFUNCTION("""COMPUTED_VALUE"""),"ДЕКОНСКАЯ")</f>
        <v>ДЕКОНСКАЯ</v>
      </c>
      <c r="S181" t="str">
        <f ca="1">IFERROR(__xludf.DUMMYFUNCTION("""COMPUTED_VALUE"""),"03.08.21 09-15")</f>
        <v>03.08.21 09-15</v>
      </c>
      <c r="T181">
        <f ca="1">IFERROR(__xludf.DUMMYFUNCTION("""COMPUTED_VALUE"""),4149)</f>
        <v>4149</v>
      </c>
      <c r="U181" t="str">
        <f ca="1">IFERROR(__xludf.DUMMYFUNCTION("""COMPUTED_VALUE"""),"06.11.2022 ДР")</f>
        <v>06.11.2022 ДР</v>
      </c>
      <c r="AA181" t="str">
        <f ca="1">IFERROR(__xludf.DUMMYFUNCTION("""COMPUTED_VALUE"""),"11-217")</f>
        <v>11-217</v>
      </c>
      <c r="AB181" t="str">
        <f ca="1">IFERROR(__xludf.DUMMYFUNCTION("""COMPUTED_VALUE"""),"43 ЮЖН")</f>
        <v>43 ЮЖН</v>
      </c>
      <c r="AC181" t="str">
        <f ca="1">IFERROR(__xludf.DUMMYFUNCTION("""COMPUTED_VALUE"""),"44020 ОСНОВА")</f>
        <v>44020 ОСНОВА</v>
      </c>
      <c r="AD181" t="str">
        <f ca="1">IFERROR(__xludf.DUMMYFUNCTION("""COMPUTED_VALUE"""),"03.01.21 10-49")</f>
        <v>03.01.21 10-49</v>
      </c>
      <c r="AE181" t="str">
        <f ca="1">IFERROR(__xludf.DUMMYFUNCTION("""COMPUTED_VALUE"""),"537 НEИCПPAВНOCТЬ ЗAПOPA ДВEPИ")</f>
        <v>537 НEИCПPAВНOCТЬ ЗAПOPA ДВEPИ</v>
      </c>
      <c r="AF181" t="str">
        <f ca="1">IFERROR(__xludf.DUMMYFUNCTION("""COMPUTED_VALUE"""),"43 ЮЖН")</f>
        <v>43 ЮЖН</v>
      </c>
      <c r="AG181" t="str">
        <f ca="1">IFERROR(__xludf.DUMMYFUNCTION("""COMPUTED_VALUE"""),"44020 ОСНОВА")</f>
        <v>44020 ОСНОВА</v>
      </c>
      <c r="AH181" t="str">
        <f ca="1">IFERROR(__xludf.DUMMYFUNCTION("""COMPUTED_VALUE"""),"04.01.21 17-00")</f>
        <v>04.01.21 17-00</v>
      </c>
      <c r="AI181" s="21">
        <f ca="1">IFERROR(__xludf.DUMMYFUNCTION("""COMPUTED_VALUE"""),44420.357662037)</f>
        <v>44420.357662037</v>
      </c>
    </row>
    <row r="182" spans="1:35" ht="13" x14ac:dyDescent="0.15">
      <c r="A182">
        <f ca="1">IFERROR(__xludf.DUMMYFUNCTION("""COMPUTED_VALUE"""),441)</f>
        <v>441</v>
      </c>
      <c r="B182" t="str">
        <f ca="1">IFERROR(__xludf.DUMMYFUNCTION("""COMPUTED_VALUE"""),"Кнауф")</f>
        <v>Кнауф</v>
      </c>
      <c r="C182" t="str">
        <f ca="1">IFERROR(__xludf.DUMMYFUNCTION("""COMPUTED_VALUE"""),"Антранс")</f>
        <v>Антранс</v>
      </c>
      <c r="D182">
        <f ca="1">IFERROR(__xludf.DUMMYFUNCTION("""COMPUTED_VALUE"""),24383168)</f>
        <v>24383168</v>
      </c>
      <c r="E182" t="str">
        <f ca="1">IFERROR(__xludf.DUMMYFUNCTION("""COMPUTED_VALUE"""),"20 КРЫТЫЕ")</f>
        <v>20 КРЫТЫЕ</v>
      </c>
      <c r="F182">
        <f ca="1">IFERROR(__xludf.DUMMYFUNCTION("""COMPUTED_VALUE"""),53105)</f>
        <v>53105</v>
      </c>
      <c r="G182" t="str">
        <f ca="1">IFERROR(__xludf.DUMMYFUNCTION("""COMPUTED_VALUE"""),"СОЛЬ ""ЭКСТРА""")</f>
        <v>СОЛЬ "ЭКСТРА"</v>
      </c>
      <c r="H182">
        <f ca="1">IFERROR(__xludf.DUMMYFUNCTION("""COMPUTED_VALUE"""),0)</f>
        <v>0</v>
      </c>
      <c r="I182">
        <f ca="1">IFERROR(__xludf.DUMMYFUNCTION("""COMPUTED_VALUE"""),1824)</f>
        <v>1824</v>
      </c>
      <c r="J182" t="str">
        <f ca="1">IFERROR(__xludf.DUMMYFUNCTION("""COMPUTED_VALUE"""),"2838 (03700-128-01394) РЖЕВКА -")</f>
        <v>2838 (03700-128-01394) РЖЕВКА -</v>
      </c>
      <c r="K182">
        <f ca="1">IFERROR(__xludf.DUMMYFUNCTION("""COMPUTED_VALUE"""),13920)</f>
        <v>13920</v>
      </c>
      <c r="L182" t="str">
        <f ca="1">IFERROR(__xludf.DUMMYFUNCTION("""COMPUTED_VALUE"""),"ГОРЫНЬ")</f>
        <v>ГОРЫНЬ</v>
      </c>
      <c r="M182" t="str">
        <f ca="1">IFERROR(__xludf.DUMMYFUNCTION("""COMPUTED_VALUE"""),"20.06.21 20-22")</f>
        <v>20.06.21 20-22</v>
      </c>
      <c r="N182" t="str">
        <f ca="1">IFERROR(__xludf.DUMMYFUNCTION("""COMPUTED_VALUE"""),"20 СДЧ")</f>
        <v>20 СДЧ</v>
      </c>
      <c r="O182">
        <f ca="1">IFERROR(__xludf.DUMMYFUNCTION("""COMPUTED_VALUE"""),11020)</f>
        <v>11020</v>
      </c>
      <c r="P182" t="str">
        <f ca="1">IFERROR(__xludf.DUMMYFUNCTION("""COMPUTED_VALUE"""),"ИНДРА-ЭКСП.")</f>
        <v>ИНДРА-ЭКСП.</v>
      </c>
      <c r="Q182">
        <f ca="1">IFERROR(__xludf.DUMMYFUNCTION("""COMPUTED_VALUE"""),37030)</f>
        <v>37030</v>
      </c>
      <c r="R182" t="str">
        <f ca="1">IFERROR(__xludf.DUMMYFUNCTION("""COMPUTED_VALUE"""),"СКНИЛОВ")</f>
        <v>СКНИЛОВ</v>
      </c>
      <c r="S182" t="str">
        <f ca="1">IFERROR(__xludf.DUMMYFUNCTION("""COMPUTED_VALUE"""),"05.06.21 18-00")</f>
        <v>05.06.21 18-00</v>
      </c>
      <c r="T182">
        <f ca="1">IFERROR(__xludf.DUMMYFUNCTION("""COMPUTED_VALUE"""),3703)</f>
        <v>3703</v>
      </c>
      <c r="U182" t="str">
        <f ca="1">IFERROR(__xludf.DUMMYFUNCTION("""COMPUTED_VALUE"""),"11.06.2022 ДР")</f>
        <v>11.06.2022 ДР</v>
      </c>
      <c r="Z182" t="str">
        <f ca="1">IFERROR(__xludf.DUMMYFUNCTION("""COMPUTED_VALUE"""),"ООО ""LDZ CARGO""")</f>
        <v>ООО "LDZ CARGO"</v>
      </c>
      <c r="AA182" t="str">
        <f ca="1">IFERROR(__xludf.DUMMYFUNCTION("""COMPUTED_VALUE"""),"11-217")</f>
        <v>11-217</v>
      </c>
      <c r="AB182" t="str">
        <f ca="1">IFERROR(__xludf.DUMMYFUNCTION("""COMPUTED_VALUE"""),"35 ЛЬВ")</f>
        <v>35 ЛЬВ</v>
      </c>
      <c r="AC182" t="str">
        <f ca="1">IFERROR(__xludf.DUMMYFUNCTION("""COMPUTED_VALUE"""),"37000 ЛЬВОВ")</f>
        <v>37000 ЛЬВОВ</v>
      </c>
      <c r="AD182" t="str">
        <f ca="1">IFERROR(__xludf.DUMMYFUNCTION("""COMPUTED_VALUE"""),"06.06.21 06-45")</f>
        <v>06.06.21 06-45</v>
      </c>
      <c r="AE182" t="str">
        <f ca="1">IFERROR(__xludf.DUMMYFUNCTION("""COMPUTED_VALUE"""),"537 НEИCПPAВНOCТЬ ЗAПOPA ДВEPИ")</f>
        <v>537 НEИCПPAВНOCТЬ ЗAПOPA ДВEPИ</v>
      </c>
      <c r="AF182" t="str">
        <f ca="1">IFERROR(__xludf.DUMMYFUNCTION("""COMPUTED_VALUE"""),"35 ЛЬВ")</f>
        <v>35 ЛЬВ</v>
      </c>
      <c r="AG182" t="str">
        <f ca="1">IFERROR(__xludf.DUMMYFUNCTION("""COMPUTED_VALUE"""),"37000 ЛЬВОВ")</f>
        <v>37000 ЛЬВОВ</v>
      </c>
      <c r="AH182" t="str">
        <f ca="1">IFERROR(__xludf.DUMMYFUNCTION("""COMPUTED_VALUE"""),"19.06.21 14-30")</f>
        <v>19.06.21 14-30</v>
      </c>
      <c r="AI182" s="21">
        <f ca="1">IFERROR(__xludf.DUMMYFUNCTION("""COMPUTED_VALUE"""),44420.357662037)</f>
        <v>44420.357662037</v>
      </c>
    </row>
    <row r="183" spans="1:35" ht="13" x14ac:dyDescent="0.15">
      <c r="A183">
        <f ca="1">IFERROR(__xludf.DUMMYFUNCTION("""COMPUTED_VALUE"""),442)</f>
        <v>442</v>
      </c>
      <c r="B183" t="str">
        <f ca="1">IFERROR(__xludf.DUMMYFUNCTION("""COMPUTED_VALUE"""),"Кнауф")</f>
        <v>Кнауф</v>
      </c>
      <c r="C183" t="str">
        <f ca="1">IFERROR(__xludf.DUMMYFUNCTION("""COMPUTED_VALUE"""),"Антранс")</f>
        <v>Антранс</v>
      </c>
      <c r="D183">
        <f ca="1">IFERROR(__xludf.DUMMYFUNCTION("""COMPUTED_VALUE"""),24383218)</f>
        <v>24383218</v>
      </c>
      <c r="E183" t="str">
        <f ca="1">IFERROR(__xludf.DUMMYFUNCTION("""COMPUTED_VALUE"""),"20 КРЫТЫЕ")</f>
        <v>20 КРЫТЫЕ</v>
      </c>
      <c r="F183">
        <f ca="1">IFERROR(__xludf.DUMMYFUNCTION("""COMPUTED_VALUE"""),42103)</f>
        <v>42103</v>
      </c>
      <c r="G183" t="str">
        <f ca="1">IFERROR(__xludf.DUMMYFUNCTION("""COMPUTED_VALUE"""),"ВАГОНЫ ЖД СВ")</f>
        <v>ВАГОНЫ ЖД СВ</v>
      </c>
      <c r="H183">
        <f ca="1">IFERROR(__xludf.DUMMYFUNCTION("""COMPUTED_VALUE"""),0)</f>
        <v>0</v>
      </c>
      <c r="I183">
        <f ca="1">IFERROR(__xludf.DUMMYFUNCTION("""COMPUTED_VALUE"""),7648)</f>
        <v>7648</v>
      </c>
      <c r="J183" t="str">
        <f ca="1">IFERROR(__xludf.DUMMYFUNCTION("""COMPUTED_VALUE"""),"2821 (16000-761-11000) ВИТЕБСК  - ДАУГАВПИЛС")</f>
        <v>2821 (16000-761-11000) ВИТЕБСК  - ДАУГАВПИЛС</v>
      </c>
      <c r="K183">
        <f ca="1">IFERROR(__xludf.DUMMYFUNCTION("""COMPUTED_VALUE"""),16169)</f>
        <v>16169</v>
      </c>
      <c r="L183" t="str">
        <f ca="1">IFERROR(__xludf.DUMMYFUNCTION("""COMPUTED_VALUE"""),"БИГОСОВО-СТ")</f>
        <v>БИГОСОВО-СТ</v>
      </c>
      <c r="M183" t="str">
        <f ca="1">IFERROR(__xludf.DUMMYFUNCTION("""COMPUTED_VALUE"""),"02.02.21 12-56")</f>
        <v>02.02.21 12-56</v>
      </c>
      <c r="N183" t="str">
        <f ca="1">IFERROR(__xludf.DUMMYFUNCTION("""COMPUTED_VALUE"""),"10 ПРМ")</f>
        <v>10 ПРМ</v>
      </c>
      <c r="O183">
        <f ca="1">IFERROR(__xludf.DUMMYFUNCTION("""COMPUTED_VALUE"""),11000)</f>
        <v>11000</v>
      </c>
      <c r="P183" t="str">
        <f ca="1">IFERROR(__xludf.DUMMYFUNCTION("""COMPUTED_VALUE"""),"ДАУГАВПИЛС")</f>
        <v>ДАУГАВПИЛС</v>
      </c>
      <c r="Q183">
        <f ca="1">IFERROR(__xludf.DUMMYFUNCTION("""COMPUTED_VALUE"""),49620)</f>
        <v>49620</v>
      </c>
      <c r="R183" t="str">
        <f ca="1">IFERROR(__xludf.DUMMYFUNCTION("""COMPUTED_VALUE"""),"ДЕКОНСКАЯ")</f>
        <v>ДЕКОНСКАЯ</v>
      </c>
      <c r="S183" t="str">
        <f ca="1">IFERROR(__xludf.DUMMYFUNCTION("""COMPUTED_VALUE"""),"25.01.21 21-30")</f>
        <v>25.01.21 21-30</v>
      </c>
      <c r="T183">
        <f ca="1">IFERROR(__xludf.DUMMYFUNCTION("""COMPUTED_VALUE"""),4149)</f>
        <v>4149</v>
      </c>
      <c r="U183" t="str">
        <f ca="1">IFERROR(__xludf.DUMMYFUNCTION("""COMPUTED_VALUE"""),"11.06.2022 ДР")</f>
        <v>11.06.2022 ДР</v>
      </c>
      <c r="AA183" t="str">
        <f ca="1">IFERROR(__xludf.DUMMYFUNCTION("""COMPUTED_VALUE"""),"11-217")</f>
        <v>11-217</v>
      </c>
      <c r="AB183" t="str">
        <f ca="1">IFERROR(__xludf.DUMMYFUNCTION("""COMPUTED_VALUE"""),"48 ДОН")</f>
        <v>48 ДОН</v>
      </c>
      <c r="AC183" t="str">
        <f ca="1">IFERROR(__xludf.DUMMYFUNCTION("""COMPUTED_VALUE"""),"49120 КОНСТАНТИНОВ")</f>
        <v>49120 КОНСТАНТИНОВ</v>
      </c>
      <c r="AD183" t="str">
        <f ca="1">IFERROR(__xludf.DUMMYFUNCTION("""COMPUTED_VALUE"""),"05.07.19 15-30")</f>
        <v>05.07.19 15-30</v>
      </c>
      <c r="AE183" t="str">
        <f ca="1">IFERROR(__xludf.DUMMYFUNCTION("""COMPUTED_VALUE"""),"910 OТCУТCТВИE ПАСПОРТА ФOPМЫ ВУ-4М")</f>
        <v>910 OТCУТCТВИE ПАСПОРТА ФOPМЫ ВУ-4М</v>
      </c>
      <c r="AF183" t="str">
        <f ca="1">IFERROR(__xludf.DUMMYFUNCTION("""COMPUTED_VALUE"""),"48 ДОН")</f>
        <v>48 ДОН</v>
      </c>
      <c r="AG183" t="str">
        <f ca="1">IFERROR(__xludf.DUMMYFUNCTION("""COMPUTED_VALUE"""),"49120 КОНСТАНТИНОВ")</f>
        <v>49120 КОНСТАНТИНОВ</v>
      </c>
      <c r="AH183" t="str">
        <f ca="1">IFERROR(__xludf.DUMMYFUNCTION("""COMPUTED_VALUE"""),"05.07.19 16-00")</f>
        <v>05.07.19 16-00</v>
      </c>
      <c r="AI183" s="21">
        <f ca="1">IFERROR(__xludf.DUMMYFUNCTION("""COMPUTED_VALUE"""),44420.357662037)</f>
        <v>44420.357662037</v>
      </c>
    </row>
    <row r="184" spans="1:35" ht="13" x14ac:dyDescent="0.15">
      <c r="A184">
        <f ca="1">IFERROR(__xludf.DUMMYFUNCTION("""COMPUTED_VALUE"""),443)</f>
        <v>443</v>
      </c>
      <c r="B184" t="str">
        <f ca="1">IFERROR(__xludf.DUMMYFUNCTION("""COMPUTED_VALUE"""),"Кнауф")</f>
        <v>Кнауф</v>
      </c>
      <c r="C184" t="str">
        <f ca="1">IFERROR(__xludf.DUMMYFUNCTION("""COMPUTED_VALUE"""),"Антранс")</f>
        <v>Антранс</v>
      </c>
      <c r="D184">
        <f ca="1">IFERROR(__xludf.DUMMYFUNCTION("""COMPUTED_VALUE"""),24383283)</f>
        <v>24383283</v>
      </c>
      <c r="E184" t="str">
        <f ca="1">IFERROR(__xludf.DUMMYFUNCTION("""COMPUTED_VALUE"""),"20 КРЫТЫЕ")</f>
        <v>20 КРЫТЫЕ</v>
      </c>
      <c r="F184">
        <f ca="1">IFERROR(__xludf.DUMMYFUNCTION("""COMPUTED_VALUE"""),12201)</f>
        <v>12201</v>
      </c>
      <c r="G184" t="str">
        <f ca="1">IFERROR(__xludf.DUMMYFUNCTION("""COMPUTED_VALUE"""),"ПЛИТЫ ДВП")</f>
        <v>ПЛИТЫ ДВП</v>
      </c>
      <c r="I184">
        <f ca="1">IFERROR(__xludf.DUMMYFUNCTION("""COMPUTED_VALUE"""),4425)</f>
        <v>4425</v>
      </c>
      <c r="J184" t="str">
        <f ca="1">IFERROR(__xludf.DUMMYFUNCTION("""COMPUTED_VALUE"""),"2821 (16000-761-11000) ВИТЕБСК  - ДАУГАВПИЛС")</f>
        <v>2821 (16000-761-11000) ВИТЕБСК  - ДАУГАВПИЛС</v>
      </c>
      <c r="K184">
        <f ca="1">IFERROR(__xludf.DUMMYFUNCTION("""COMPUTED_VALUE"""),15380)</f>
        <v>15380</v>
      </c>
      <c r="L184" t="str">
        <f ca="1">IFERROR(__xludf.DUMMYFUNCTION("""COMPUTED_VALUE"""),"КАЛИНКОВИЧИ")</f>
        <v>КАЛИНКОВИЧИ</v>
      </c>
      <c r="M184" t="str">
        <f ca="1">IFERROR(__xludf.DUMMYFUNCTION("""COMPUTED_VALUE"""),"12.08.21 01-00")</f>
        <v>12.08.21 01-00</v>
      </c>
      <c r="N184" t="str">
        <f ca="1">IFERROR(__xludf.DUMMYFUNCTION("""COMPUTED_VALUE"""),"08 ПСНП")</f>
        <v>08 ПСНП</v>
      </c>
      <c r="O184">
        <f ca="1">IFERROR(__xludf.DUMMYFUNCTION("""COMPUTED_VALUE"""),41780)</f>
        <v>41780</v>
      </c>
      <c r="P184" t="str">
        <f ca="1">IFERROR(__xludf.DUMMYFUNCTION("""COMPUTED_VALUE"""),"ХЕРСОН")</f>
        <v>ХЕРСОН</v>
      </c>
      <c r="Q184">
        <f ca="1">IFERROR(__xludf.DUMMYFUNCTION("""COMPUTED_VALUE"""),49620)</f>
        <v>49620</v>
      </c>
      <c r="R184" t="str">
        <f ca="1">IFERROR(__xludf.DUMMYFUNCTION("""COMPUTED_VALUE"""),"ДЕКОНСКАЯ")</f>
        <v>ДЕКОНСКАЯ</v>
      </c>
      <c r="U184" t="str">
        <f ca="1">IFERROR(__xludf.DUMMYFUNCTION("""COMPUTED_VALUE"""),"05.11.2022 ДР")</f>
        <v>05.11.2022 ДР</v>
      </c>
      <c r="Z184" t="str">
        <f ca="1">IFERROR(__xludf.DUMMYFUNCTION("""COMPUTED_VALUE"""),"ООО ""LDZ CARGO""")</f>
        <v>ООО "LDZ CARGO"</v>
      </c>
      <c r="AA184" t="str">
        <f ca="1">IFERROR(__xludf.DUMMYFUNCTION("""COMPUTED_VALUE"""),"11-217")</f>
        <v>11-217</v>
      </c>
      <c r="AI184" s="21">
        <f ca="1">IFERROR(__xludf.DUMMYFUNCTION("""COMPUTED_VALUE"""),44420.3576736111)</f>
        <v>44420.357673611099</v>
      </c>
    </row>
    <row r="185" spans="1:35" ht="13" x14ac:dyDescent="0.15">
      <c r="A185">
        <f ca="1">IFERROR(__xludf.DUMMYFUNCTION("""COMPUTED_VALUE"""),444)</f>
        <v>444</v>
      </c>
      <c r="B185" t="str">
        <f ca="1">IFERROR(__xludf.DUMMYFUNCTION("""COMPUTED_VALUE"""),"Кнауф")</f>
        <v>Кнауф</v>
      </c>
      <c r="C185" t="str">
        <f ca="1">IFERROR(__xludf.DUMMYFUNCTION("""COMPUTED_VALUE"""),"Антранс")</f>
        <v>Антранс</v>
      </c>
      <c r="D185">
        <f ca="1">IFERROR(__xludf.DUMMYFUNCTION("""COMPUTED_VALUE"""),24105421)</f>
        <v>24105421</v>
      </c>
      <c r="E185" t="str">
        <f ca="1">IFERROR(__xludf.DUMMYFUNCTION("""COMPUTED_VALUE"""),"20 КРЫТЫЕ")</f>
        <v>20 КРЫТЫЕ</v>
      </c>
      <c r="F185">
        <f ca="1">IFERROR(__xludf.DUMMYFUNCTION("""COMPUTED_VALUE"""),25310)</f>
        <v>25310</v>
      </c>
      <c r="G185" t="str">
        <f ca="1">IFERROR(__xludf.DUMMYFUNCTION("""COMPUTED_VALUE"""),"КИРПИЧ СИЛИКАТ")</f>
        <v>КИРПИЧ СИЛИКАТ</v>
      </c>
      <c r="H185">
        <f ca="1">IFERROR(__xludf.DUMMYFUNCTION("""COMPUTED_VALUE"""),0)</f>
        <v>0</v>
      </c>
      <c r="I185">
        <f ca="1">IFERROR(__xludf.DUMMYFUNCTION("""COMPUTED_VALUE"""),2195)</f>
        <v>2195</v>
      </c>
      <c r="J185" t="str">
        <f ca="1">IFERROR(__xludf.DUMMYFUNCTION("""COMPUTED_VALUE"""),"3012 (03555-039-01394)  -")</f>
        <v>3012 (03555-039-01394)  -</v>
      </c>
      <c r="K185">
        <f ca="1">IFERROR(__xludf.DUMMYFUNCTION("""COMPUTED_VALUE"""),13920)</f>
        <v>13920</v>
      </c>
      <c r="L185" t="str">
        <f ca="1">IFERROR(__xludf.DUMMYFUNCTION("""COMPUTED_VALUE"""),"ГОРЫНЬ")</f>
        <v>ГОРЫНЬ</v>
      </c>
      <c r="M185" t="str">
        <f ca="1">IFERROR(__xludf.DUMMYFUNCTION("""COMPUTED_VALUE"""),"11.07.21 00-49")</f>
        <v>11.07.21 00-49</v>
      </c>
      <c r="N185" t="str">
        <f ca="1">IFERROR(__xludf.DUMMYFUNCTION("""COMPUTED_VALUE"""),"20 СДЧ")</f>
        <v>20 СДЧ</v>
      </c>
      <c r="O185">
        <f ca="1">IFERROR(__xludf.DUMMYFUNCTION("""COMPUTED_VALUE"""),11020)</f>
        <v>11020</v>
      </c>
      <c r="P185" t="str">
        <f ca="1">IFERROR(__xludf.DUMMYFUNCTION("""COMPUTED_VALUE"""),"ИНДРА-ЭКСП.")</f>
        <v>ИНДРА-ЭКСП.</v>
      </c>
      <c r="Q185">
        <f ca="1">IFERROR(__xludf.DUMMYFUNCTION("""COMPUTED_VALUE"""),35660)</f>
        <v>35660</v>
      </c>
      <c r="R185" t="str">
        <f ca="1">IFERROR(__xludf.DUMMYFUNCTION("""COMPUTED_VALUE"""),"РОВНО")</f>
        <v>РОВНО</v>
      </c>
      <c r="S185" t="str">
        <f ca="1">IFERROR(__xludf.DUMMYFUNCTION("""COMPUTED_VALUE"""),"09.07.21 18-40")</f>
        <v>09.07.21 18-40</v>
      </c>
      <c r="T185">
        <f ca="1">IFERROR(__xludf.DUMMYFUNCTION("""COMPUTED_VALUE"""),3566)</f>
        <v>3566</v>
      </c>
      <c r="U185" t="str">
        <f ca="1">IFERROR(__xludf.DUMMYFUNCTION("""COMPUTED_VALUE"""),"12.06.2022 ДР")</f>
        <v>12.06.2022 ДР</v>
      </c>
      <c r="AA185" t="str">
        <f ca="1">IFERROR(__xludf.DUMMYFUNCTION("""COMPUTED_VALUE"""),"11-217")</f>
        <v>11-217</v>
      </c>
      <c r="AI185" s="21">
        <f ca="1">IFERROR(__xludf.DUMMYFUNCTION("""COMPUTED_VALUE"""),44420.3576736111)</f>
        <v>44420.357673611099</v>
      </c>
    </row>
    <row r="186" spans="1:35" ht="13" x14ac:dyDescent="0.15">
      <c r="A186">
        <f ca="1">IFERROR(__xludf.DUMMYFUNCTION("""COMPUTED_VALUE"""),448)</f>
        <v>448</v>
      </c>
      <c r="B186" t="str">
        <f ca="1">IFERROR(__xludf.DUMMYFUNCTION("""COMPUTED_VALUE"""),"Кнауф")</f>
        <v>Кнауф</v>
      </c>
      <c r="C186" t="str">
        <f ca="1">IFERROR(__xludf.DUMMYFUNCTION("""COMPUTED_VALUE"""),"АССТРА РФ")</f>
        <v>АССТРА РФ</v>
      </c>
      <c r="D186">
        <f ca="1">IFERROR(__xludf.DUMMYFUNCTION("""COMPUTED_VALUE"""),52142700)</f>
        <v>52142700</v>
      </c>
      <c r="E186" t="str">
        <f ca="1">IFERROR(__xludf.DUMMYFUNCTION("""COMPUTED_VALUE"""),"28 КРЫТЫЕ_138")</f>
        <v>28 КРЫТЫЕ_138</v>
      </c>
      <c r="F186">
        <f ca="1">IFERROR(__xludf.DUMMYFUNCTION("""COMPUTED_VALUE"""),42103)</f>
        <v>42103</v>
      </c>
      <c r="G186" t="str">
        <f ca="1">IFERROR(__xludf.DUMMYFUNCTION("""COMPUTED_VALUE"""),"ВАГОНЫ ЖД СВ")</f>
        <v>ВАГОНЫ ЖД СВ</v>
      </c>
      <c r="H186">
        <f ca="1">IFERROR(__xludf.DUMMYFUNCTION("""COMPUTED_VALUE"""),0)</f>
        <v>0</v>
      </c>
      <c r="I186">
        <f ca="1">IFERROR(__xludf.DUMMYFUNCTION("""COMPUTED_VALUE"""),8199)</f>
        <v>8199</v>
      </c>
      <c r="J186" t="str">
        <f ca="1">IFERROR(__xludf.DUMMYFUNCTION("""COMPUTED_VALUE"""),"3501 (33580-013-33000) ВИННИЦА - ЖМЕРИНКА")</f>
        <v>3501 (33580-013-33000) ВИННИЦА - ЖМЕРИНКА</v>
      </c>
      <c r="K186">
        <f ca="1">IFERROR(__xludf.DUMMYFUNCTION("""COMPUTED_VALUE"""),33000)</f>
        <v>33000</v>
      </c>
      <c r="L186" t="str">
        <f ca="1">IFERROR(__xludf.DUMMYFUNCTION("""COMPUTED_VALUE"""),"ЖМЕРИНКА")</f>
        <v>ЖМЕРИНКА</v>
      </c>
      <c r="M186" t="str">
        <f ca="1">IFERROR(__xludf.DUMMYFUNCTION("""COMPUTED_VALUE"""),"11.08.21 19-35")</f>
        <v>11.08.21 19-35</v>
      </c>
      <c r="N186" t="str">
        <f ca="1">IFERROR(__xludf.DUMMYFUNCTION("""COMPUTED_VALUE"""),"51 ПРИБ")</f>
        <v>51 ПРИБ</v>
      </c>
      <c r="O186">
        <f ca="1">IFERROR(__xludf.DUMMYFUNCTION("""COMPUTED_VALUE"""),38830)</f>
        <v>38830</v>
      </c>
      <c r="P186" t="str">
        <f ca="1">IFERROR(__xludf.DUMMYFUNCTION("""COMPUTED_VALUE"""),"ЯМНИЦА")</f>
        <v>ЯМНИЦА</v>
      </c>
      <c r="Q186">
        <f ca="1">IFERROR(__xludf.DUMMYFUNCTION("""COMPUTED_VALUE"""),33580)</f>
        <v>33580</v>
      </c>
      <c r="R186" t="str">
        <f ca="1">IFERROR(__xludf.DUMMYFUNCTION("""COMPUTED_VALUE"""),"ВИННИЦА")</f>
        <v>ВИННИЦА</v>
      </c>
      <c r="S186" t="str">
        <f ca="1">IFERROR(__xludf.DUMMYFUNCTION("""COMPUTED_VALUE"""),"05.08.21 18-00")</f>
        <v>05.08.21 18-00</v>
      </c>
      <c r="T186">
        <f ca="1">IFERROR(__xludf.DUMMYFUNCTION("""COMPUTED_VALUE"""),8200)</f>
        <v>8200</v>
      </c>
      <c r="U186" t="str">
        <f ca="1">IFERROR(__xludf.DUMMYFUNCTION("""COMPUTED_VALUE"""),"29.09.2023 КР")</f>
        <v>29.09.2023 КР</v>
      </c>
      <c r="Z186" t="str">
        <f ca="1">IFERROR(__xludf.DUMMYFUNCTION("""COMPUTED_VALUE"""),"ООО «БГС РЕЙЛ»")</f>
        <v>ООО «БГС РЕЙЛ»</v>
      </c>
      <c r="AA186" t="str">
        <f ca="1">IFERROR(__xludf.DUMMYFUNCTION("""COMPUTED_VALUE"""),"11-286")</f>
        <v>11-286</v>
      </c>
      <c r="AB186" t="str">
        <f ca="1">IFERROR(__xludf.DUMMYFUNCTION("""COMPUTED_VALUE"""),"32 Ю-ЗАП")</f>
        <v>32 Ю-ЗАП</v>
      </c>
      <c r="AC186" t="str">
        <f ca="1">IFERROR(__xludf.DUMMYFUNCTION("""COMPUTED_VALUE"""),"33000 ЖМЕРИНКА")</f>
        <v>33000 ЖМЕРИНКА</v>
      </c>
      <c r="AD186" t="str">
        <f ca="1">IFERROR(__xludf.DUMMYFUNCTION("""COMPUTED_VALUE"""),"22.09.20 16-37")</f>
        <v>22.09.20 16-37</v>
      </c>
      <c r="AE186" t="str">
        <f ca="1">IFERROR(__xludf.DUMMYFUNCTION("""COMPUTED_VALUE"""),"570 ИCТEК КAЛЕНДАРНЫЙ CPOК ДEПOВCКОГО PEМOНТA")</f>
        <v>570 ИCТEК КAЛЕНДАРНЫЙ CPOК ДEПOВCКОГО PEМOНТA</v>
      </c>
      <c r="AF186" t="str">
        <f ca="1">IFERROR(__xludf.DUMMYFUNCTION("""COMPUTED_VALUE"""),"32 Ю-ЗАП")</f>
        <v>32 Ю-ЗАП</v>
      </c>
      <c r="AG186" t="str">
        <f ca="1">IFERROR(__xludf.DUMMYFUNCTION("""COMPUTED_VALUE"""),"33000 ЖМЕРИНКА")</f>
        <v>33000 ЖМЕРИНКА</v>
      </c>
      <c r="AH186" t="str">
        <f ca="1">IFERROR(__xludf.DUMMYFUNCTION("""COMPUTED_VALUE"""),"29.09.20 10-46")</f>
        <v>29.09.20 10-46</v>
      </c>
      <c r="AI186" s="21">
        <f ca="1">IFERROR(__xludf.DUMMYFUNCTION("""COMPUTED_VALUE"""),44420.3576736111)</f>
        <v>44420.357673611099</v>
      </c>
    </row>
    <row r="187" spans="1:35" ht="13" x14ac:dyDescent="0.15">
      <c r="A187">
        <f ca="1">IFERROR(__xludf.DUMMYFUNCTION("""COMPUTED_VALUE"""),472)</f>
        <v>472</v>
      </c>
      <c r="B187" t="str">
        <f ca="1">IFERROR(__xludf.DUMMYFUNCTION("""COMPUTED_VALUE"""),"Руссоль")</f>
        <v>Руссоль</v>
      </c>
      <c r="C187" t="str">
        <f ca="1">IFERROR(__xludf.DUMMYFUNCTION("""COMPUTED_VALUE"""),"Укррос-Транс")</f>
        <v>Укррос-Транс</v>
      </c>
      <c r="D187">
        <f ca="1">IFERROR(__xludf.DUMMYFUNCTION("""COMPUTED_VALUE"""),52404084)</f>
        <v>52404084</v>
      </c>
      <c r="E187" t="str">
        <f ca="1">IFERROR(__xludf.DUMMYFUNCTION("""COMPUTED_VALUE"""),"20 КРЫТЫЕ")</f>
        <v>20 КРЫТЫЕ</v>
      </c>
      <c r="F187">
        <f ca="1">IFERROR(__xludf.DUMMYFUNCTION("""COMPUTED_VALUE"""),23304)</f>
        <v>23304</v>
      </c>
      <c r="G187" t="str">
        <f ca="1">IFERROR(__xludf.DUMMYFUNCTION("""COMPUTED_VALUE"""),"ГИПС ПР")</f>
        <v>ГИПС ПР</v>
      </c>
      <c r="H187">
        <f ca="1">IFERROR(__xludf.DUMMYFUNCTION("""COMPUTED_VALUE"""),67)</f>
        <v>67</v>
      </c>
      <c r="I187">
        <f ca="1">IFERROR(__xludf.DUMMYFUNCTION("""COMPUTED_VALUE"""),4014)</f>
        <v>4014</v>
      </c>
      <c r="J187" t="str">
        <f ca="1">IFERROR(__xludf.DUMMYFUNCTION("""COMPUTED_VALUE"""),"1111 (38850-064-36660) ХРЫПЛИН - ЧЕРНОВЦЫ")</f>
        <v>1111 (38850-064-36660) ХРЫПЛИН - ЧЕРНОВЦЫ</v>
      </c>
      <c r="K187">
        <f ca="1">IFERROR(__xludf.DUMMYFUNCTION("""COMPUTED_VALUE"""),38850)</f>
        <v>38850</v>
      </c>
      <c r="L187" t="str">
        <f ca="1">IFERROR(__xludf.DUMMYFUNCTION("""COMPUTED_VALUE"""),"ХРЫПЛИН")</f>
        <v>ХРЫПЛИН</v>
      </c>
      <c r="M187" t="str">
        <f ca="1">IFERROR(__xludf.DUMMYFUNCTION("""COMPUTED_VALUE"""),"12.08.21 05-43")</f>
        <v>12.08.21 05-43</v>
      </c>
      <c r="N187" t="str">
        <f ca="1">IFERROR(__xludf.DUMMYFUNCTION("""COMPUTED_VALUE"""),"04 РАСФ")</f>
        <v>04 РАСФ</v>
      </c>
      <c r="O187">
        <f ca="1">IFERROR(__xludf.DUMMYFUNCTION("""COMPUTED_VALUE"""),36820)</f>
        <v>36820</v>
      </c>
      <c r="P187" t="str">
        <f ca="1">IFERROR(__xludf.DUMMYFUNCTION("""COMPUTED_VALUE"""),"ЧЕРНОВЦЫ-ЮЖН")</f>
        <v>ЧЕРНОВЦЫ-ЮЖН</v>
      </c>
      <c r="Q187">
        <f ca="1">IFERROR(__xludf.DUMMYFUNCTION("""COMPUTED_VALUE"""),49620)</f>
        <v>49620</v>
      </c>
      <c r="R187" t="str">
        <f ca="1">IFERROR(__xludf.DUMMYFUNCTION("""COMPUTED_VALUE"""),"ДЕКОНСКАЯ")</f>
        <v>ДЕКОНСКАЯ</v>
      </c>
      <c r="S187" t="str">
        <f ca="1">IFERROR(__xludf.DUMMYFUNCTION("""COMPUTED_VALUE"""),"04.08.21 11-30")</f>
        <v>04.08.21 11-30</v>
      </c>
      <c r="T187">
        <f ca="1">IFERROR(__xludf.DUMMYFUNCTION("""COMPUTED_VALUE"""),4149)</f>
        <v>4149</v>
      </c>
      <c r="U187" t="str">
        <f ca="1">IFERROR(__xludf.DUMMYFUNCTION("""COMPUTED_VALUE"""),"27.11.2022 ТР-1")</f>
        <v>27.11.2022 ТР-1</v>
      </c>
      <c r="Z187" t="str">
        <f ca="1">IFERROR(__xludf.DUMMYFUNCTION("""COMPUTED_VALUE"""),"ООО ""Укррос-Транс""")</f>
        <v>ООО "Укррос-Транс"</v>
      </c>
      <c r="AA187" t="str">
        <f ca="1">IFERROR(__xludf.DUMMYFUNCTION("""COMPUTED_VALUE"""),"11-270")</f>
        <v>11-270</v>
      </c>
      <c r="AB187" t="str">
        <f ca="1">IFERROR(__xludf.DUMMYFUNCTION("""COMPUTED_VALUE"""),"43 ЮЖН")</f>
        <v>43 ЮЖН</v>
      </c>
      <c r="AC187" t="str">
        <f ca="1">IFERROR(__xludf.DUMMYFUNCTION("""COMPUTED_VALUE"""),"44020 ОСНОВА")</f>
        <v>44020 ОСНОВА</v>
      </c>
      <c r="AD187" t="str">
        <f ca="1">IFERROR(__xludf.DUMMYFUNCTION("""COMPUTED_VALUE"""),"03.04.21 00-50")</f>
        <v>03.04.21 00-50</v>
      </c>
      <c r="AE187" t="str">
        <f ca="1">IFERROR(__xludf.DUMMYFUNCTION("""COMPUTED_VALUE"""),"537 НEИCПPAВНOCТЬ ЗAПOPA ДВEPИ")</f>
        <v>537 НEИCПPAВНOCТЬ ЗAПOPA ДВEPИ</v>
      </c>
      <c r="AF187" t="str">
        <f ca="1">IFERROR(__xludf.DUMMYFUNCTION("""COMPUTED_VALUE"""),"43 ЮЖН")</f>
        <v>43 ЮЖН</v>
      </c>
      <c r="AG187" t="str">
        <f ca="1">IFERROR(__xludf.DUMMYFUNCTION("""COMPUTED_VALUE"""),"44020 ОСНОВА")</f>
        <v>44020 ОСНОВА</v>
      </c>
      <c r="AH187" t="str">
        <f ca="1">IFERROR(__xludf.DUMMYFUNCTION("""COMPUTED_VALUE"""),"06.04.21 17-30")</f>
        <v>06.04.21 17-30</v>
      </c>
      <c r="AI187" s="21">
        <f ca="1">IFERROR(__xludf.DUMMYFUNCTION("""COMPUTED_VALUE"""),44420.3576736111)</f>
        <v>44420.357673611099</v>
      </c>
    </row>
    <row r="188" spans="1:35" ht="13" x14ac:dyDescent="0.15">
      <c r="A188">
        <f ca="1">IFERROR(__xludf.DUMMYFUNCTION("""COMPUTED_VALUE"""),473)</f>
        <v>473</v>
      </c>
      <c r="B188" t="str">
        <f ca="1">IFERROR(__xludf.DUMMYFUNCTION("""COMPUTED_VALUE"""),"Кнауф")</f>
        <v>Кнауф</v>
      </c>
      <c r="C188" t="str">
        <f ca="1">IFERROR(__xludf.DUMMYFUNCTION("""COMPUTED_VALUE"""),"Укррос-Транс")</f>
        <v>Укррос-Транс</v>
      </c>
      <c r="D188">
        <f ca="1">IFERROR(__xludf.DUMMYFUNCTION("""COMPUTED_VALUE"""),52576840)</f>
        <v>52576840</v>
      </c>
      <c r="E188" t="str">
        <f ca="1">IFERROR(__xludf.DUMMYFUNCTION("""COMPUTED_VALUE"""),"20 КРЫТЫЕ")</f>
        <v>20 КРЫТЫЕ</v>
      </c>
      <c r="F188">
        <f ca="1">IFERROR(__xludf.DUMMYFUNCTION("""COMPUTED_VALUE"""),42103)</f>
        <v>42103</v>
      </c>
      <c r="G188" t="str">
        <f ca="1">IFERROR(__xludf.DUMMYFUNCTION("""COMPUTED_VALUE"""),"ВАГОНЫ ЖД СВ")</f>
        <v>ВАГОНЫ ЖД СВ</v>
      </c>
      <c r="H188">
        <f ca="1">IFERROR(__xludf.DUMMYFUNCTION("""COMPUTED_VALUE"""),0)</f>
        <v>0</v>
      </c>
      <c r="I188">
        <f ca="1">IFERROR(__xludf.DUMMYFUNCTION("""COMPUTED_VALUE"""),8199)</f>
        <v>8199</v>
      </c>
      <c r="J188" t="str">
        <f ca="1">IFERROR(__xludf.DUMMYFUNCTION("""COMPUTED_VALUE"""),"1111 (35660-101-35000) РОВНО - ЗДОЛБУНОВ")</f>
        <v>1111 (35660-101-35000) РОВНО - ЗДОЛБУНОВ</v>
      </c>
      <c r="K188">
        <f ca="1">IFERROR(__xludf.DUMMYFUNCTION("""COMPUTED_VALUE"""),35660)</f>
        <v>35660</v>
      </c>
      <c r="L188" t="str">
        <f ca="1">IFERROR(__xludf.DUMMYFUNCTION("""COMPUTED_VALUE"""),"РОВНО")</f>
        <v>РОВНО</v>
      </c>
      <c r="M188" t="str">
        <f ca="1">IFERROR(__xludf.DUMMYFUNCTION("""COMPUTED_VALUE"""),"11.08.21 04-00")</f>
        <v>11.08.21 04-00</v>
      </c>
      <c r="N188" t="str">
        <f ca="1">IFERROR(__xludf.DUMMYFUNCTION("""COMPUTED_VALUE"""),"44 РАСП")</f>
        <v>44 РАСП</v>
      </c>
      <c r="O188">
        <f ca="1">IFERROR(__xludf.DUMMYFUNCTION("""COMPUTED_VALUE"""),38830)</f>
        <v>38830</v>
      </c>
      <c r="P188" t="str">
        <f ca="1">IFERROR(__xludf.DUMMYFUNCTION("""COMPUTED_VALUE"""),"ЯМНИЦА")</f>
        <v>ЯМНИЦА</v>
      </c>
      <c r="Q188">
        <f ca="1">IFERROR(__xludf.DUMMYFUNCTION("""COMPUTED_VALUE"""),35660)</f>
        <v>35660</v>
      </c>
      <c r="R188" t="str">
        <f ca="1">IFERROR(__xludf.DUMMYFUNCTION("""COMPUTED_VALUE"""),"РОВНО")</f>
        <v>РОВНО</v>
      </c>
      <c r="S188" t="str">
        <f ca="1">IFERROR(__xludf.DUMMYFUNCTION("""COMPUTED_VALUE"""),"09.08.21 18-20")</f>
        <v>09.08.21 18-20</v>
      </c>
      <c r="T188">
        <f ca="1">IFERROR(__xludf.DUMMYFUNCTION("""COMPUTED_VALUE"""),8200)</f>
        <v>8200</v>
      </c>
      <c r="U188" t="str">
        <f ca="1">IFERROR(__xludf.DUMMYFUNCTION("""COMPUTED_VALUE"""),"11.03.2022 ДР")</f>
        <v>11.03.2022 ДР</v>
      </c>
      <c r="Z188" t="str">
        <f ca="1">IFERROR(__xludf.DUMMYFUNCTION("""COMPUTED_VALUE"""),"ООО ""Укррос-Транс""")</f>
        <v>ООО "Укррос-Транс"</v>
      </c>
      <c r="AA188" t="str">
        <f ca="1">IFERROR(__xludf.DUMMYFUNCTION("""COMPUTED_VALUE"""),"11-270")</f>
        <v>11-270</v>
      </c>
      <c r="AB188" t="str">
        <f ca="1">IFERROR(__xludf.DUMMYFUNCTION("""COMPUTED_VALUE"""),"48 ДОН")</f>
        <v>48 ДОН</v>
      </c>
      <c r="AC188" t="str">
        <f ca="1">IFERROR(__xludf.DUMMYFUNCTION("""COMPUTED_VALUE"""),"49000 ЛИМАН")</f>
        <v>49000 ЛИМАН</v>
      </c>
      <c r="AD188" t="str">
        <f ca="1">IFERROR(__xludf.DUMMYFUNCTION("""COMPUTED_VALUE"""),"08.09.20 04-00")</f>
        <v>08.09.20 04-00</v>
      </c>
      <c r="AE188" t="str">
        <f ca="1">IFERROR(__xludf.DUMMYFUNCTION("""COMPUTED_VALUE"""),"621 ТPEЩИНА КOНЦEВЫX БAЛOК")</f>
        <v>621 ТPEЩИНА КOНЦEВЫX БAЛOК</v>
      </c>
      <c r="AF188" t="str">
        <f ca="1">IFERROR(__xludf.DUMMYFUNCTION("""COMPUTED_VALUE"""),"48 ДОН")</f>
        <v>48 ДОН</v>
      </c>
      <c r="AG188" t="str">
        <f ca="1">IFERROR(__xludf.DUMMYFUNCTION("""COMPUTED_VALUE"""),"49000 ЛИМАН")</f>
        <v>49000 ЛИМАН</v>
      </c>
      <c r="AH188" t="str">
        <f ca="1">IFERROR(__xludf.DUMMYFUNCTION("""COMPUTED_VALUE"""),"09.09.20 17-00")</f>
        <v>09.09.20 17-00</v>
      </c>
      <c r="AI188" s="21">
        <f ca="1">IFERROR(__xludf.DUMMYFUNCTION("""COMPUTED_VALUE"""),44420.3576736111)</f>
        <v>44420.357673611099</v>
      </c>
    </row>
    <row r="189" spans="1:35" ht="13" x14ac:dyDescent="0.15">
      <c r="A189">
        <f ca="1">IFERROR(__xludf.DUMMYFUNCTION("""COMPUTED_VALUE"""),475)</f>
        <v>475</v>
      </c>
      <c r="B189" t="str">
        <f ca="1">IFERROR(__xludf.DUMMYFUNCTION("""COMPUTED_VALUE"""),"Кнауф")</f>
        <v>Кнауф</v>
      </c>
      <c r="C189" t="str">
        <f ca="1">IFERROR(__xludf.DUMMYFUNCTION("""COMPUTED_VALUE"""),"Укррос-Транс")</f>
        <v>Укррос-Транс</v>
      </c>
      <c r="D189">
        <f ca="1">IFERROR(__xludf.DUMMYFUNCTION("""COMPUTED_VALUE"""),52508249)</f>
        <v>52508249</v>
      </c>
      <c r="E189" t="str">
        <f ca="1">IFERROR(__xludf.DUMMYFUNCTION("""COMPUTED_VALUE"""),"20 КРЫТЫЕ")</f>
        <v>20 КРЫТЫЕ</v>
      </c>
      <c r="F189">
        <f ca="1">IFERROR(__xludf.DUMMYFUNCTION("""COMPUTED_VALUE"""),42103)</f>
        <v>42103</v>
      </c>
      <c r="G189" t="str">
        <f ca="1">IFERROR(__xludf.DUMMYFUNCTION("""COMPUTED_VALUE"""),"ВАГОНЫ ЖД СВ")</f>
        <v>ВАГОНЫ ЖД СВ</v>
      </c>
      <c r="H189">
        <f ca="1">IFERROR(__xludf.DUMMYFUNCTION("""COMPUTED_VALUE"""),0)</f>
        <v>0</v>
      </c>
      <c r="I189">
        <f ca="1">IFERROR(__xludf.DUMMYFUNCTION("""COMPUTED_VALUE"""),8199)</f>
        <v>8199</v>
      </c>
      <c r="J189" t="str">
        <f ca="1">IFERROR(__xludf.DUMMYFUNCTION("""COMPUTED_VALUE"""),"1111 (38840-016-38830) ИВАНО-ФРАНК - ЯМНИЦА")</f>
        <v>1111 (38840-016-38830) ИВАНО-ФРАНК - ЯМНИЦА</v>
      </c>
      <c r="K189">
        <f ca="1">IFERROR(__xludf.DUMMYFUNCTION("""COMPUTED_VALUE"""),38830)</f>
        <v>38830</v>
      </c>
      <c r="L189" t="str">
        <f ca="1">IFERROR(__xludf.DUMMYFUNCTION("""COMPUTED_VALUE"""),"ЯМНИЦА")</f>
        <v>ЯМНИЦА</v>
      </c>
      <c r="M189" t="str">
        <f ca="1">IFERROR(__xludf.DUMMYFUNCTION("""COMPUTED_VALUE"""),"11.08.21 04-00")</f>
        <v>11.08.21 04-00</v>
      </c>
      <c r="N189" t="str">
        <f ca="1">IFERROR(__xludf.DUMMYFUNCTION("""COMPUTED_VALUE"""),"98 ОТОТ")</f>
        <v>98 ОТОТ</v>
      </c>
      <c r="O189">
        <f ca="1">IFERROR(__xludf.DUMMYFUNCTION("""COMPUTED_VALUE"""),38830)</f>
        <v>38830</v>
      </c>
      <c r="P189" t="str">
        <f ca="1">IFERROR(__xludf.DUMMYFUNCTION("""COMPUTED_VALUE"""),"ЯМНИЦА")</f>
        <v>ЯМНИЦА</v>
      </c>
      <c r="Q189">
        <f ca="1">IFERROR(__xludf.DUMMYFUNCTION("""COMPUTED_VALUE"""),38840)</f>
        <v>38840</v>
      </c>
      <c r="R189" t="str">
        <f ca="1">IFERROR(__xludf.DUMMYFUNCTION("""COMPUTED_VALUE"""),"ИВАНО-ФРАНК")</f>
        <v>ИВАНО-ФРАНК</v>
      </c>
      <c r="S189" t="str">
        <f ca="1">IFERROR(__xludf.DUMMYFUNCTION("""COMPUTED_VALUE"""),"09.08.21 17-00")</f>
        <v>09.08.21 17-00</v>
      </c>
      <c r="T189">
        <f ca="1">IFERROR(__xludf.DUMMYFUNCTION("""COMPUTED_VALUE"""),8200)</f>
        <v>8200</v>
      </c>
      <c r="U189" t="str">
        <f ca="1">IFERROR(__xludf.DUMMYFUNCTION("""COMPUTED_VALUE"""),"05.05.2023 ТР-1")</f>
        <v>05.05.2023 ТР-1</v>
      </c>
      <c r="Z189" t="str">
        <f ca="1">IFERROR(__xludf.DUMMYFUNCTION("""COMPUTED_VALUE"""),"ООО ""Укррос-Транс""")</f>
        <v>ООО "Укррос-Транс"</v>
      </c>
      <c r="AA189" t="str">
        <f ca="1">IFERROR(__xludf.DUMMYFUNCTION("""COMPUTED_VALUE"""),"11-217")</f>
        <v>11-217</v>
      </c>
      <c r="AB189" t="str">
        <f ca="1">IFERROR(__xludf.DUMMYFUNCTION("""COMPUTED_VALUE"""),"32 Ю-ЗАП")</f>
        <v>32 Ю-ЗАП</v>
      </c>
      <c r="AC189" t="str">
        <f ca="1">IFERROR(__xludf.DUMMYFUNCTION("""COMPUTED_VALUE"""),"33000 ЖМЕРИНКА")</f>
        <v>33000 ЖМЕРИНКА</v>
      </c>
      <c r="AD189" t="str">
        <f ca="1">IFERROR(__xludf.DUMMYFUNCTION("""COMPUTED_VALUE"""),"03.05.21 14-53")</f>
        <v>03.05.21 14-53</v>
      </c>
      <c r="AE189" t="str">
        <f ca="1">IFERROR(__xludf.DUMMYFUNCTION("""COMPUTED_VALUE"""),"570 ИCТEК КAЛЕНДАРНЫЙ CPOК ДEПOВCКОГО PEМOНТA")</f>
        <v>570 ИCТEК КAЛЕНДАРНЫЙ CPOК ДEПOВCКОГО PEМOНТA</v>
      </c>
      <c r="AF189" t="str">
        <f ca="1">IFERROR(__xludf.DUMMYFUNCTION("""COMPUTED_VALUE"""),"32 Ю-ЗАП")</f>
        <v>32 Ю-ЗАП</v>
      </c>
      <c r="AG189" t="str">
        <f ca="1">IFERROR(__xludf.DUMMYFUNCTION("""COMPUTED_VALUE"""),"33000 ЖМЕРИНКА")</f>
        <v>33000 ЖМЕРИНКА</v>
      </c>
      <c r="AH189" t="str">
        <f ca="1">IFERROR(__xludf.DUMMYFUNCTION("""COMPUTED_VALUE"""),"19.05.21 16-35")</f>
        <v>19.05.21 16-35</v>
      </c>
      <c r="AI189" s="21">
        <f ca="1">IFERROR(__xludf.DUMMYFUNCTION("""COMPUTED_VALUE"""),44420.3576736111)</f>
        <v>44420.357673611099</v>
      </c>
    </row>
    <row r="190" spans="1:35" ht="13" x14ac:dyDescent="0.15">
      <c r="A190">
        <f ca="1">IFERROR(__xludf.DUMMYFUNCTION("""COMPUTED_VALUE"""),476)</f>
        <v>476</v>
      </c>
      <c r="B190" t="str">
        <f ca="1">IFERROR(__xludf.DUMMYFUNCTION("""COMPUTED_VALUE"""),"Кнауф")</f>
        <v>Кнауф</v>
      </c>
      <c r="C190" t="str">
        <f ca="1">IFERROR(__xludf.DUMMYFUNCTION("""COMPUTED_VALUE"""),"Укррос-Транс")</f>
        <v>Укррос-Транс</v>
      </c>
      <c r="D190">
        <f ca="1">IFERROR(__xludf.DUMMYFUNCTION("""COMPUTED_VALUE"""),52531365)</f>
        <v>52531365</v>
      </c>
      <c r="E190" t="str">
        <f ca="1">IFERROR(__xludf.DUMMYFUNCTION("""COMPUTED_VALUE"""),"20 КРЫТЫЕ")</f>
        <v>20 КРЫТЫЕ</v>
      </c>
      <c r="F190">
        <f ca="1">IFERROR(__xludf.DUMMYFUNCTION("""COMPUTED_VALUE"""),23304)</f>
        <v>23304</v>
      </c>
      <c r="G190" t="str">
        <f ca="1">IFERROR(__xludf.DUMMYFUNCTION("""COMPUTED_VALUE"""),"ГИПС ПР")</f>
        <v>ГИПС ПР</v>
      </c>
      <c r="H190">
        <f ca="1">IFERROR(__xludf.DUMMYFUNCTION("""COMPUTED_VALUE"""),66)</f>
        <v>66</v>
      </c>
      <c r="I190">
        <f ca="1">IFERROR(__xludf.DUMMYFUNCTION("""COMPUTED_VALUE"""),8676)</f>
        <v>8676</v>
      </c>
      <c r="J190" t="str">
        <f ca="1">IFERROR(__xludf.DUMMYFUNCTION("""COMPUTED_VALUE"""),"4831 (49640-037-49460)  - БАХМУТ")</f>
        <v>4831 (49640-037-49460)  - БАХМУТ</v>
      </c>
      <c r="K190">
        <f ca="1">IFERROR(__xludf.DUMMYFUNCTION("""COMPUTED_VALUE"""),49460)</f>
        <v>49460</v>
      </c>
      <c r="L190" t="str">
        <f ca="1">IFERROR(__xludf.DUMMYFUNCTION("""COMPUTED_VALUE"""),"БАХМУТ")</f>
        <v>БАХМУТ</v>
      </c>
      <c r="M190" t="str">
        <f ca="1">IFERROR(__xludf.DUMMYFUNCTION("""COMPUTED_VALUE"""),"12.08.21 07-00")</f>
        <v>12.08.21 07-00</v>
      </c>
      <c r="N190" t="str">
        <f ca="1">IFERROR(__xludf.DUMMYFUNCTION("""COMPUTED_VALUE"""),"04 РАСФ")</f>
        <v>04 РАСФ</v>
      </c>
      <c r="O190">
        <f ca="1">IFERROR(__xludf.DUMMYFUNCTION("""COMPUTED_VALUE"""),38840)</f>
        <v>38840</v>
      </c>
      <c r="P190" t="str">
        <f ca="1">IFERROR(__xludf.DUMMYFUNCTION("""COMPUTED_VALUE"""),"ИВАНО-ФРАНК")</f>
        <v>ИВАНО-ФРАНК</v>
      </c>
      <c r="Q190">
        <f ca="1">IFERROR(__xludf.DUMMYFUNCTION("""COMPUTED_VALUE"""),49620)</f>
        <v>49620</v>
      </c>
      <c r="R190" t="str">
        <f ca="1">IFERROR(__xludf.DUMMYFUNCTION("""COMPUTED_VALUE"""),"ДЕКОНСКАЯ")</f>
        <v>ДЕКОНСКАЯ</v>
      </c>
      <c r="S190" t="str">
        <f ca="1">IFERROR(__xludf.DUMMYFUNCTION("""COMPUTED_VALUE"""),"11.08.21 20-10")</f>
        <v>11.08.21 20-10</v>
      </c>
      <c r="T190">
        <f ca="1">IFERROR(__xludf.DUMMYFUNCTION("""COMPUTED_VALUE"""),4149)</f>
        <v>4149</v>
      </c>
      <c r="U190" t="str">
        <f ca="1">IFERROR(__xludf.DUMMYFUNCTION("""COMPUTED_VALUE"""),"25.05.2024 ДР")</f>
        <v>25.05.2024 ДР</v>
      </c>
      <c r="Z190" t="str">
        <f ca="1">IFERROR(__xludf.DUMMYFUNCTION("""COMPUTED_VALUE"""),"ООО ""Укррос-Транс""")</f>
        <v>ООО "Укррос-Транс"</v>
      </c>
      <c r="AA190" t="str">
        <f ca="1">IFERROR(__xludf.DUMMYFUNCTION("""COMPUTED_VALUE"""),"11-270")</f>
        <v>11-270</v>
      </c>
      <c r="AB190" t="str">
        <f ca="1">IFERROR(__xludf.DUMMYFUNCTION("""COMPUTED_VALUE"""),"32 Ю-ЗАП")</f>
        <v>32 Ю-ЗАП</v>
      </c>
      <c r="AC190" t="str">
        <f ca="1">IFERROR(__xludf.DUMMYFUNCTION("""COMPUTED_VALUE"""),"33000 ЖМЕРИНКА")</f>
        <v>33000 ЖМЕРИНКА</v>
      </c>
      <c r="AD190" t="str">
        <f ca="1">IFERROR(__xludf.DUMMYFUNCTION("""COMPUTED_VALUE"""),"09.05.21 08-20")</f>
        <v>09.05.21 08-20</v>
      </c>
      <c r="AE190" t="str">
        <f ca="1">IFERROR(__xludf.DUMMYFUNCTION("""COMPUTED_VALUE"""),"571 ИCТEК КAЛЕНДАРНЫЙ CPOК КAПИТAЛЬНОГО PEМOНТA")</f>
        <v>571 ИCТEК КAЛЕНДАРНЫЙ CPOК КAПИТAЛЬНОГО PEМOНТA</v>
      </c>
      <c r="AF190" t="str">
        <f ca="1">IFERROR(__xludf.DUMMYFUNCTION("""COMPUTED_VALUE"""),"32 Ю-ЗАП")</f>
        <v>32 Ю-ЗАП</v>
      </c>
      <c r="AG190" t="str">
        <f ca="1">IFERROR(__xludf.DUMMYFUNCTION("""COMPUTED_VALUE"""),"33000 ЖМЕРИНКА")</f>
        <v>33000 ЖМЕРИНКА</v>
      </c>
      <c r="AH190" t="str">
        <f ca="1">IFERROR(__xludf.DUMMYFUNCTION("""COMPUTED_VALUE"""),"25.05.21 17-59")</f>
        <v>25.05.21 17-59</v>
      </c>
      <c r="AI190" s="21">
        <f ca="1">IFERROR(__xludf.DUMMYFUNCTION("""COMPUTED_VALUE"""),44420.3576736111)</f>
        <v>44420.357673611099</v>
      </c>
    </row>
    <row r="191" spans="1:35" ht="13" x14ac:dyDescent="0.15">
      <c r="A191">
        <f ca="1">IFERROR(__xludf.DUMMYFUNCTION("""COMPUTED_VALUE"""),477)</f>
        <v>477</v>
      </c>
      <c r="B191" t="str">
        <f ca="1">IFERROR(__xludf.DUMMYFUNCTION("""COMPUTED_VALUE"""),"Николаевцемент")</f>
        <v>Николаевцемент</v>
      </c>
      <c r="C191" t="str">
        <f ca="1">IFERROR(__xludf.DUMMYFUNCTION("""COMPUTED_VALUE"""),"Укррос-Транс")</f>
        <v>Укррос-Транс</v>
      </c>
      <c r="D191">
        <f ca="1">IFERROR(__xludf.DUMMYFUNCTION("""COMPUTED_VALUE"""),52551363)</f>
        <v>52551363</v>
      </c>
      <c r="E191" t="str">
        <f ca="1">IFERROR(__xludf.DUMMYFUNCTION("""COMPUTED_VALUE"""),"20 КРЫТЫЕ")</f>
        <v>20 КРЫТЫЕ</v>
      </c>
      <c r="F191">
        <f ca="1">IFERROR(__xludf.DUMMYFUNCTION("""COMPUTED_VALUE"""),53103)</f>
        <v>53103</v>
      </c>
      <c r="G191" t="str">
        <f ca="1">IFERROR(__xludf.DUMMYFUNCTION("""COMPUTED_VALUE"""),"СОЛЬ ПИЩ МОЛОТ")</f>
        <v>СОЛЬ ПИЩ МОЛОТ</v>
      </c>
      <c r="H191">
        <f ca="1">IFERROR(__xludf.DUMMYFUNCTION("""COMPUTED_VALUE"""),68)</f>
        <v>68</v>
      </c>
      <c r="I191">
        <f ca="1">IFERROR(__xludf.DUMMYFUNCTION("""COMPUTED_VALUE"""),1244)</f>
        <v>1244</v>
      </c>
      <c r="J191" t="str">
        <f ca="1">IFERROR(__xludf.DUMMYFUNCTION("""COMPUTED_VALUE"""),"1111 (38850-067-36660) ХРЫПЛИН - ЧЕРНОВЦЫ")</f>
        <v>1111 (38850-067-36660) ХРЫПЛИН - ЧЕРНОВЦЫ</v>
      </c>
      <c r="K191">
        <f ca="1">IFERROR(__xludf.DUMMYFUNCTION("""COMPUTED_VALUE"""),38850)</f>
        <v>38850</v>
      </c>
      <c r="L191" t="str">
        <f ca="1">IFERROR(__xludf.DUMMYFUNCTION("""COMPUTED_VALUE"""),"ХРЫПЛИН")</f>
        <v>ХРЫПЛИН</v>
      </c>
      <c r="M191" t="str">
        <f ca="1">IFERROR(__xludf.DUMMYFUNCTION("""COMPUTED_VALUE"""),"12.08.21 05-41")</f>
        <v>12.08.21 05-41</v>
      </c>
      <c r="N191" t="str">
        <f ca="1">IFERROR(__xludf.DUMMYFUNCTION("""COMPUTED_VALUE"""),"05 ФОРМ")</f>
        <v>05 ФОРМ</v>
      </c>
      <c r="O191">
        <f ca="1">IFERROR(__xludf.DUMMYFUNCTION("""COMPUTED_VALUE"""),36660)</f>
        <v>36660</v>
      </c>
      <c r="P191" t="str">
        <f ca="1">IFERROR(__xludf.DUMMYFUNCTION("""COMPUTED_VALUE"""),"ЧЕРНОВЦЫ")</f>
        <v>ЧЕРНОВЦЫ</v>
      </c>
      <c r="Q191">
        <f ca="1">IFERROR(__xludf.DUMMYFUNCTION("""COMPUTED_VALUE"""),49480)</f>
        <v>49480</v>
      </c>
      <c r="R191" t="str">
        <f ca="1">IFERROR(__xludf.DUMMYFUNCTION("""COMPUTED_VALUE"""),"СОЛЬ")</f>
        <v>СОЛЬ</v>
      </c>
      <c r="S191" t="str">
        <f ca="1">IFERROR(__xludf.DUMMYFUNCTION("""COMPUTED_VALUE"""),"06.08.21 16-50")</f>
        <v>06.08.21 16-50</v>
      </c>
      <c r="T191">
        <f ca="1">IFERROR(__xludf.DUMMYFUNCTION("""COMPUTED_VALUE"""),4714)</f>
        <v>4714</v>
      </c>
      <c r="U191" t="str">
        <f ca="1">IFERROR(__xludf.DUMMYFUNCTION("""COMPUTED_VALUE"""),"07.11.2021 ДР")</f>
        <v>07.11.2021 ДР</v>
      </c>
      <c r="Z191" t="str">
        <f ca="1">IFERROR(__xludf.DUMMYFUNCTION("""COMPUTED_VALUE"""),"ООО ""Укррос-Транс""")</f>
        <v>ООО "Укррос-Транс"</v>
      </c>
      <c r="AA191" t="str">
        <f ca="1">IFERROR(__xludf.DUMMYFUNCTION("""COMPUTED_VALUE"""),"11-270")</f>
        <v>11-270</v>
      </c>
      <c r="AB191" t="str">
        <f ca="1">IFERROR(__xludf.DUMMYFUNCTION("""COMPUTED_VALUE"""),"43 ЮЖН")</f>
        <v>43 ЮЖН</v>
      </c>
      <c r="AC191" t="str">
        <f ca="1">IFERROR(__xludf.DUMMYFUNCTION("""COMPUTED_VALUE"""),"44020 ОСНОВА")</f>
        <v>44020 ОСНОВА</v>
      </c>
      <c r="AD191" t="str">
        <f ca="1">IFERROR(__xludf.DUMMYFUNCTION("""COMPUTED_VALUE"""),"16.02.21 10-29")</f>
        <v>16.02.21 10-29</v>
      </c>
      <c r="AE191" t="str">
        <f ca="1">IFERROR(__xludf.DUMMYFUNCTION("""COMPUTED_VALUE"""),"537 НEИCПPAВНOCТЬ ЗAПOPA ДВEPИ")</f>
        <v>537 НEИCПPAВНOCТЬ ЗAПOPA ДВEPИ</v>
      </c>
      <c r="AF191" t="str">
        <f ca="1">IFERROR(__xludf.DUMMYFUNCTION("""COMPUTED_VALUE"""),"43 ЮЖН")</f>
        <v>43 ЮЖН</v>
      </c>
      <c r="AG191" t="str">
        <f ca="1">IFERROR(__xludf.DUMMYFUNCTION("""COMPUTED_VALUE"""),"44020 ОСНОВА")</f>
        <v>44020 ОСНОВА</v>
      </c>
      <c r="AH191" t="str">
        <f ca="1">IFERROR(__xludf.DUMMYFUNCTION("""COMPUTED_VALUE"""),"17.02.21 17-10")</f>
        <v>17.02.21 17-10</v>
      </c>
      <c r="AI191" s="21">
        <f ca="1">IFERROR(__xludf.DUMMYFUNCTION("""COMPUTED_VALUE"""),44420.3576736111)</f>
        <v>44420.357673611099</v>
      </c>
    </row>
    <row r="192" spans="1:35" ht="13" x14ac:dyDescent="0.15">
      <c r="A192">
        <f ca="1">IFERROR(__xludf.DUMMYFUNCTION("""COMPUTED_VALUE"""),478)</f>
        <v>478</v>
      </c>
      <c r="B192" t="str">
        <f ca="1">IFERROR(__xludf.DUMMYFUNCTION("""COMPUTED_VALUE"""),"Николаевцемент")</f>
        <v>Николаевцемент</v>
      </c>
      <c r="C192" t="str">
        <f ca="1">IFERROR(__xludf.DUMMYFUNCTION("""COMPUTED_VALUE"""),"Укррос-Транс")</f>
        <v>Укррос-Транс</v>
      </c>
      <c r="D192">
        <f ca="1">IFERROR(__xludf.DUMMYFUNCTION("""COMPUTED_VALUE"""),52416849)</f>
        <v>52416849</v>
      </c>
      <c r="E192" t="str">
        <f ca="1">IFERROR(__xludf.DUMMYFUNCTION("""COMPUTED_VALUE"""),"20 КРЫТЫЕ")</f>
        <v>20 КРЫТЫЕ</v>
      </c>
      <c r="F192">
        <f ca="1">IFERROR(__xludf.DUMMYFUNCTION("""COMPUTED_VALUE"""),42103)</f>
        <v>42103</v>
      </c>
      <c r="G192" t="str">
        <f ca="1">IFERROR(__xludf.DUMMYFUNCTION("""COMPUTED_VALUE"""),"ВАГОНЫ ЖД СВ")</f>
        <v>ВАГОНЫ ЖД СВ</v>
      </c>
      <c r="H192">
        <f ca="1">IFERROR(__xludf.DUMMYFUNCTION("""COMPUTED_VALUE"""),0)</f>
        <v>0</v>
      </c>
      <c r="I192">
        <f ca="1">IFERROR(__xludf.DUMMYFUNCTION("""COMPUTED_VALUE"""),4149)</f>
        <v>4149</v>
      </c>
      <c r="J192" t="str">
        <f ca="1">IFERROR(__xludf.DUMMYFUNCTION("""COMPUTED_VALUE"""),"3802 (49640-063-49620)  - ДЕКОНСКАЯ")</f>
        <v>3802 (49640-063-49620)  - ДЕКОНСКАЯ</v>
      </c>
      <c r="K192">
        <f ca="1">IFERROR(__xludf.DUMMYFUNCTION("""COMPUTED_VALUE"""),49620)</f>
        <v>49620</v>
      </c>
      <c r="L192" t="str">
        <f ca="1">IFERROR(__xludf.DUMMYFUNCTION("""COMPUTED_VALUE"""),"ДЕКОНСКАЯ")</f>
        <v>ДЕКОНСКАЯ</v>
      </c>
      <c r="M192" t="str">
        <f ca="1">IFERROR(__xludf.DUMMYFUNCTION("""COMPUTED_VALUE"""),"06.08.21 22-20")</f>
        <v>06.08.21 22-20</v>
      </c>
      <c r="N192" t="str">
        <f ca="1">IFERROR(__xludf.DUMMYFUNCTION("""COMPUTED_VALUE"""),"98 ОТОТ")</f>
        <v>98 ОТОТ</v>
      </c>
      <c r="O192">
        <f ca="1">IFERROR(__xludf.DUMMYFUNCTION("""COMPUTED_VALUE"""),49620)</f>
        <v>49620</v>
      </c>
      <c r="P192" t="str">
        <f ca="1">IFERROR(__xludf.DUMMYFUNCTION("""COMPUTED_VALUE"""),"ДЕКОНСКАЯ")</f>
        <v>ДЕКОНСКАЯ</v>
      </c>
      <c r="Q192">
        <f ca="1">IFERROR(__xludf.DUMMYFUNCTION("""COMPUTED_VALUE"""),44050)</f>
        <v>44050</v>
      </c>
      <c r="R192" t="str">
        <f ca="1">IFERROR(__xludf.DUMMYFUNCTION("""COMPUTED_VALUE"""),"ХАРЬКОВ-БАЛ")</f>
        <v>ХАРЬКОВ-БАЛ</v>
      </c>
      <c r="S192" t="str">
        <f ca="1">IFERROR(__xludf.DUMMYFUNCTION("""COMPUTED_VALUE"""),"02.08.21 16-00")</f>
        <v>02.08.21 16-00</v>
      </c>
      <c r="T192">
        <f ca="1">IFERROR(__xludf.DUMMYFUNCTION("""COMPUTED_VALUE"""),1494)</f>
        <v>1494</v>
      </c>
      <c r="U192" t="str">
        <f ca="1">IFERROR(__xludf.DUMMYFUNCTION("""COMPUTED_VALUE"""),"25.05.2024 ДР")</f>
        <v>25.05.2024 ДР</v>
      </c>
      <c r="Z192" t="str">
        <f ca="1">IFERROR(__xludf.DUMMYFUNCTION("""COMPUTED_VALUE"""),"ООО ""Укррос-Транс""")</f>
        <v>ООО "Укррос-Транс"</v>
      </c>
      <c r="AA192" t="str">
        <f ca="1">IFERROR(__xludf.DUMMYFUNCTION("""COMPUTED_VALUE"""),"11-217")</f>
        <v>11-217</v>
      </c>
      <c r="AB192" t="str">
        <f ca="1">IFERROR(__xludf.DUMMYFUNCTION("""COMPUTED_VALUE"""),"32 Ю-ЗАП")</f>
        <v>32 Ю-ЗАП</v>
      </c>
      <c r="AC192" t="str">
        <f ca="1">IFERROR(__xludf.DUMMYFUNCTION("""COMPUTED_VALUE"""),"33000 ЖМЕРИНКА")</f>
        <v>33000 ЖМЕРИНКА</v>
      </c>
      <c r="AD192" t="str">
        <f ca="1">IFERROR(__xludf.DUMMYFUNCTION("""COMPUTED_VALUE"""),"22.05.21 09-04")</f>
        <v>22.05.21 09-04</v>
      </c>
      <c r="AE192" t="str">
        <f ca="1">IFERROR(__xludf.DUMMYFUNCTION("""COMPUTED_VALUE"""),"571 ИCТEК КAЛЕНДАРНЫЙ CPOК КAПИТAЛЬНОГО PEМOНТA")</f>
        <v>571 ИCТEК КAЛЕНДАРНЫЙ CPOК КAПИТAЛЬНОГО PEМOНТA</v>
      </c>
      <c r="AF192" t="str">
        <f ca="1">IFERROR(__xludf.DUMMYFUNCTION("""COMPUTED_VALUE"""),"32 Ю-ЗАП")</f>
        <v>32 Ю-ЗАП</v>
      </c>
      <c r="AG192" t="str">
        <f ca="1">IFERROR(__xludf.DUMMYFUNCTION("""COMPUTED_VALUE"""),"33000 ЖМЕРИНКА")</f>
        <v>33000 ЖМЕРИНКА</v>
      </c>
      <c r="AH192" t="str">
        <f ca="1">IFERROR(__xludf.DUMMYFUNCTION("""COMPUTED_VALUE"""),"25.05.21 18-00")</f>
        <v>25.05.21 18-00</v>
      </c>
      <c r="AI192" s="21">
        <f ca="1">IFERROR(__xludf.DUMMYFUNCTION("""COMPUTED_VALUE"""),44420.3576736111)</f>
        <v>44420.357673611099</v>
      </c>
    </row>
    <row r="193" spans="1:35" ht="13" x14ac:dyDescent="0.15">
      <c r="A193">
        <f ca="1">IFERROR(__xludf.DUMMYFUNCTION("""COMPUTED_VALUE"""),479)</f>
        <v>479</v>
      </c>
      <c r="B193" t="str">
        <f ca="1">IFERROR(__xludf.DUMMYFUNCTION("""COMPUTED_VALUE"""),"Кнауф")</f>
        <v>Кнауф</v>
      </c>
      <c r="C193" t="str">
        <f ca="1">IFERROR(__xludf.DUMMYFUNCTION("""COMPUTED_VALUE"""),"АССТРА")</f>
        <v>АССТРА</v>
      </c>
      <c r="D193">
        <f ca="1">IFERROR(__xludf.DUMMYFUNCTION("""COMPUTED_VALUE"""),52426764)</f>
        <v>52426764</v>
      </c>
      <c r="E193" t="str">
        <f ca="1">IFERROR(__xludf.DUMMYFUNCTION("""COMPUTED_VALUE"""),"20 КРЫТЫЕ")</f>
        <v>20 КРЫТЫЕ</v>
      </c>
      <c r="F193">
        <f ca="1">IFERROR(__xludf.DUMMYFUNCTION("""COMPUTED_VALUE"""),42119)</f>
        <v>42119</v>
      </c>
      <c r="G193" t="str">
        <f ca="1">IFERROR(__xludf.DUMMYFUNCTION("""COMPUTED_VALUE"""),"ВАГОНЫ ЖД РЕМОН")</f>
        <v>ВАГОНЫ ЖД РЕМОН</v>
      </c>
      <c r="H193">
        <f ca="1">IFERROR(__xludf.DUMMYFUNCTION("""COMPUTED_VALUE"""),0)</f>
        <v>0</v>
      </c>
      <c r="I193">
        <f ca="1">IFERROR(__xludf.DUMMYFUNCTION("""COMPUTED_VALUE"""),1426)</f>
        <v>1426</v>
      </c>
      <c r="J193" t="str">
        <f ca="1">IFERROR(__xludf.DUMMYFUNCTION("""COMPUTED_VALUE"""),"3007 (42000-044-34440) ИМ.Т.ШЕВЧЕНК - МИРОНОВКА")</f>
        <v>3007 (42000-044-34440) ИМ.Т.ШЕВЧЕНК - МИРОНОВКА</v>
      </c>
      <c r="K193">
        <f ca="1">IFERROR(__xludf.DUMMYFUNCTION("""COMPUTED_VALUE"""),42260)</f>
        <v>42260</v>
      </c>
      <c r="L193" t="str">
        <f ca="1">IFERROR(__xludf.DUMMYFUNCTION("""COMPUTED_VALUE"""),"ЦВЕТКОВО")</f>
        <v>ЦВЕТКОВО</v>
      </c>
      <c r="M193" t="str">
        <f ca="1">IFERROR(__xludf.DUMMYFUNCTION("""COMPUTED_VALUE"""),"11.08.21 22-30")</f>
        <v>11.08.21 22-30</v>
      </c>
      <c r="N193" t="str">
        <f ca="1">IFERROR(__xludf.DUMMYFUNCTION("""COMPUTED_VALUE"""),"06 БРОС")</f>
        <v>06 БРОС</v>
      </c>
      <c r="O193">
        <f ca="1">IFERROR(__xludf.DUMMYFUNCTION("""COMPUTED_VALUE"""),33000)</f>
        <v>33000</v>
      </c>
      <c r="P193" t="str">
        <f ca="1">IFERROR(__xludf.DUMMYFUNCTION("""COMPUTED_VALUE"""),"ЖМЕРИНКА")</f>
        <v>ЖМЕРИНКА</v>
      </c>
      <c r="Q193">
        <f ca="1">IFERROR(__xludf.DUMMYFUNCTION("""COMPUTED_VALUE"""),42420)</f>
        <v>42420</v>
      </c>
      <c r="R193" t="str">
        <f ca="1">IFERROR(__xludf.DUMMYFUNCTION("""COMPUTED_VALUE"""),"ЧЕРКАССЫ")</f>
        <v>ЧЕРКАССЫ</v>
      </c>
      <c r="S193" t="str">
        <f ca="1">IFERROR(__xludf.DUMMYFUNCTION("""COMPUTED_VALUE"""),"10.08.21 00-01")</f>
        <v>10.08.21 00-01</v>
      </c>
      <c r="T193">
        <f ca="1">IFERROR(__xludf.DUMMYFUNCTION("""COMPUTED_VALUE"""),8200)</f>
        <v>8200</v>
      </c>
      <c r="U193" t="str">
        <f ca="1">IFERROR(__xludf.DUMMYFUNCTION("""COMPUTED_VALUE"""),"15.11.2021 КР")</f>
        <v>15.11.2021 КР</v>
      </c>
      <c r="Z193" t="str">
        <f ca="1">IFERROR(__xludf.DUMMYFUNCTION("""COMPUTED_VALUE"""),"ООО «БГС РЕЙЛ»")</f>
        <v>ООО «БГС РЕЙЛ»</v>
      </c>
      <c r="AA193" t="str">
        <f ca="1">IFERROR(__xludf.DUMMYFUNCTION("""COMPUTED_VALUE"""),"11-270")</f>
        <v>11-270</v>
      </c>
      <c r="AB193" t="str">
        <f ca="1">IFERROR(__xludf.DUMMYFUNCTION("""COMPUTED_VALUE"""),"48 ДОН")</f>
        <v>48 ДОН</v>
      </c>
      <c r="AC193" t="str">
        <f ca="1">IFERROR(__xludf.DUMMYFUNCTION("""COMPUTED_VALUE"""),"49480 СОЛЬ")</f>
        <v>49480 СОЛЬ</v>
      </c>
      <c r="AD193" t="str">
        <f ca="1">IFERROR(__xludf.DUMMYFUNCTION("""COMPUTED_VALUE"""),"11.01.21 09-00")</f>
        <v>11.01.21 09-00</v>
      </c>
      <c r="AE193" t="str">
        <f ca="1">IFERROR(__xludf.DUMMYFUNCTION("""COMPUTED_VALUE"""),"563")</f>
        <v>563</v>
      </c>
      <c r="AF193" t="str">
        <f ca="1">IFERROR(__xludf.DUMMYFUNCTION("""COMPUTED_VALUE"""),"48 ДОН")</f>
        <v>48 ДОН</v>
      </c>
      <c r="AG193" t="str">
        <f ca="1">IFERROR(__xludf.DUMMYFUNCTION("""COMPUTED_VALUE"""),"49480 СОЛЬ")</f>
        <v>49480 СОЛЬ</v>
      </c>
      <c r="AH193" t="str">
        <f ca="1">IFERROR(__xludf.DUMMYFUNCTION("""COMPUTED_VALUE"""),"12.01.21 16-00")</f>
        <v>12.01.21 16-00</v>
      </c>
      <c r="AI193" s="21">
        <f ca="1">IFERROR(__xludf.DUMMYFUNCTION("""COMPUTED_VALUE"""),44420.3576736111)</f>
        <v>44420.357673611099</v>
      </c>
    </row>
    <row r="194" spans="1:35" ht="13" x14ac:dyDescent="0.15">
      <c r="A194">
        <f ca="1">IFERROR(__xludf.DUMMYFUNCTION("""COMPUTED_VALUE"""),480)</f>
        <v>480</v>
      </c>
      <c r="B194" t="str">
        <f ca="1">IFERROR(__xludf.DUMMYFUNCTION("""COMPUTED_VALUE"""),"Кнауф")</f>
        <v>Кнауф</v>
      </c>
      <c r="C194" t="str">
        <f ca="1">IFERROR(__xludf.DUMMYFUNCTION("""COMPUTED_VALUE"""),"АССТРА РФ")</f>
        <v>АССТРА РФ</v>
      </c>
      <c r="D194">
        <f ca="1">IFERROR(__xludf.DUMMYFUNCTION("""COMPUTED_VALUE"""),52544699)</f>
        <v>52544699</v>
      </c>
      <c r="E194" t="str">
        <f ca="1">IFERROR(__xludf.DUMMYFUNCTION("""COMPUTED_VALUE"""),"20 КРЫТЫЕ")</f>
        <v>20 КРЫТЫЕ</v>
      </c>
      <c r="F194">
        <f ca="1">IFERROR(__xludf.DUMMYFUNCTION("""COMPUTED_VALUE"""),28114)</f>
        <v>28114</v>
      </c>
      <c r="G194" t="str">
        <f ca="1">IFERROR(__xludf.DUMMYFUNCTION("""COMPUTED_VALUE"""),"ЦЕМЕНТ ПР")</f>
        <v>ЦЕМЕНТ ПР</v>
      </c>
      <c r="H194">
        <f ca="1">IFERROR(__xludf.DUMMYFUNCTION("""COMPUTED_VALUE"""),68)</f>
        <v>68</v>
      </c>
      <c r="I194">
        <f ca="1">IFERROR(__xludf.DUMMYFUNCTION("""COMPUTED_VALUE"""),1494)</f>
        <v>1494</v>
      </c>
      <c r="J194" t="str">
        <f ca="1">IFERROR(__xludf.DUMMYFUNCTION("""COMPUTED_VALUE"""),"1111 (38830-088-37000) ЯМНИЦА - ЛЬВОВ")</f>
        <v>1111 (38830-088-37000) ЯМНИЦА - ЛЬВОВ</v>
      </c>
      <c r="K194">
        <f ca="1">IFERROR(__xludf.DUMMYFUNCTION("""COMPUTED_VALUE"""),38830)</f>
        <v>38830</v>
      </c>
      <c r="L194" t="str">
        <f ca="1">IFERROR(__xludf.DUMMYFUNCTION("""COMPUTED_VALUE"""),"ЯМНИЦА")</f>
        <v>ЯМНИЦА</v>
      </c>
      <c r="M194" t="str">
        <f ca="1">IFERROR(__xludf.DUMMYFUNCTION("""COMPUTED_VALUE"""),"12.08.21 02-00")</f>
        <v>12.08.21 02-00</v>
      </c>
      <c r="N194" t="str">
        <f ca="1">IFERROR(__xludf.DUMMYFUNCTION("""COMPUTED_VALUE"""),"72 ОТЦ")</f>
        <v>72 ОТЦ</v>
      </c>
      <c r="O194">
        <f ca="1">IFERROR(__xludf.DUMMYFUNCTION("""COMPUTED_VALUE"""),44050)</f>
        <v>44050</v>
      </c>
      <c r="P194" t="str">
        <f ca="1">IFERROR(__xludf.DUMMYFUNCTION("""COMPUTED_VALUE"""),"ХАРЬКОВ-БАЛ")</f>
        <v>ХАРЬКОВ-БАЛ</v>
      </c>
      <c r="Q194">
        <f ca="1">IFERROR(__xludf.DUMMYFUNCTION("""COMPUTED_VALUE"""),38830)</f>
        <v>38830</v>
      </c>
      <c r="R194" t="str">
        <f ca="1">IFERROR(__xludf.DUMMYFUNCTION("""COMPUTED_VALUE"""),"ЯМНИЦА")</f>
        <v>ЯМНИЦА</v>
      </c>
      <c r="S194" t="str">
        <f ca="1">IFERROR(__xludf.DUMMYFUNCTION("""COMPUTED_VALUE"""),"11.08.21 01-20")</f>
        <v>11.08.21 01-20</v>
      </c>
      <c r="T194">
        <f ca="1">IFERROR(__xludf.DUMMYFUNCTION("""COMPUTED_VALUE"""),8199)</f>
        <v>8199</v>
      </c>
      <c r="U194" t="str">
        <f ca="1">IFERROR(__xludf.DUMMYFUNCTION("""COMPUTED_VALUE"""),"09.04.2024 КР")</f>
        <v>09.04.2024 КР</v>
      </c>
      <c r="Z194" t="str">
        <f ca="1">IFERROR(__xludf.DUMMYFUNCTION("""COMPUTED_VALUE"""),"ООО «БГС РЕЙЛ»")</f>
        <v>ООО «БГС РЕЙЛ»</v>
      </c>
      <c r="AA194" t="str">
        <f ca="1">IFERROR(__xludf.DUMMYFUNCTION("""COMPUTED_VALUE"""),"11-276")</f>
        <v>11-276</v>
      </c>
      <c r="AB194" t="str">
        <f ca="1">IFERROR(__xludf.DUMMYFUNCTION("""COMPUTED_VALUE"""),"43 ЮЖН")</f>
        <v>43 ЮЖН</v>
      </c>
      <c r="AC194" t="str">
        <f ca="1">IFERROR(__xludf.DUMMYFUNCTION("""COMPUTED_VALUE"""),"44020 ОСНОВА")</f>
        <v>44020 ОСНОВА</v>
      </c>
      <c r="AD194" t="str">
        <f ca="1">IFERROR(__xludf.DUMMYFUNCTION("""COMPUTED_VALUE"""),"14.07.21 11-37")</f>
        <v>14.07.21 11-37</v>
      </c>
      <c r="AE194" t="str">
        <f ca="1">IFERROR(__xludf.DUMMYFUNCTION("""COMPUTED_VALUE"""),"537 НEИCПPAВНOCТЬ ЗAПOPA ДВEPИ")</f>
        <v>537 НEИCПPAВНOCТЬ ЗAПOPA ДВEPИ</v>
      </c>
      <c r="AF194" t="str">
        <f ca="1">IFERROR(__xludf.DUMMYFUNCTION("""COMPUTED_VALUE"""),"43 ЮЖН")</f>
        <v>43 ЮЖН</v>
      </c>
      <c r="AG194" t="str">
        <f ca="1">IFERROR(__xludf.DUMMYFUNCTION("""COMPUTED_VALUE"""),"44020 ОСНОВА")</f>
        <v>44020 ОСНОВА</v>
      </c>
      <c r="AH194" t="str">
        <f ca="1">IFERROR(__xludf.DUMMYFUNCTION("""COMPUTED_VALUE"""),"15.07.21 17-05")</f>
        <v>15.07.21 17-05</v>
      </c>
      <c r="AI194" s="21">
        <f ca="1">IFERROR(__xludf.DUMMYFUNCTION("""COMPUTED_VALUE"""),44420.3576736111)</f>
        <v>44420.357673611099</v>
      </c>
    </row>
    <row r="195" spans="1:35" ht="13" x14ac:dyDescent="0.15">
      <c r="A195">
        <f ca="1">IFERROR(__xludf.DUMMYFUNCTION("""COMPUTED_VALUE"""),481)</f>
        <v>481</v>
      </c>
      <c r="B195" t="str">
        <f ca="1">IFERROR(__xludf.DUMMYFUNCTION("""COMPUTED_VALUE"""),"Кнауф")</f>
        <v>Кнауф</v>
      </c>
      <c r="C195" t="str">
        <f ca="1">IFERROR(__xludf.DUMMYFUNCTION("""COMPUTED_VALUE"""),"АССТРА РФ")</f>
        <v>АССТРА РФ</v>
      </c>
      <c r="D195">
        <f ca="1">IFERROR(__xludf.DUMMYFUNCTION("""COMPUTED_VALUE"""),52411022)</f>
        <v>52411022</v>
      </c>
      <c r="E195" t="str">
        <f ca="1">IFERROR(__xludf.DUMMYFUNCTION("""COMPUTED_VALUE"""),"20 КРЫТЫЕ")</f>
        <v>20 КРЫТЫЕ</v>
      </c>
      <c r="F195">
        <f ca="1">IFERROR(__xludf.DUMMYFUNCTION("""COMPUTED_VALUE"""),23304)</f>
        <v>23304</v>
      </c>
      <c r="G195" t="str">
        <f ca="1">IFERROR(__xludf.DUMMYFUNCTION("""COMPUTED_VALUE"""),"ГИПС ПР")</f>
        <v>ГИПС ПР</v>
      </c>
      <c r="H195">
        <f ca="1">IFERROR(__xludf.DUMMYFUNCTION("""COMPUTED_VALUE"""),66)</f>
        <v>66</v>
      </c>
      <c r="I195">
        <f ca="1">IFERROR(__xludf.DUMMYFUNCTION("""COMPUTED_VALUE"""),3314)</f>
        <v>3314</v>
      </c>
      <c r="J195" t="str">
        <f ca="1">IFERROR(__xludf.DUMMYFUNCTION("""COMPUTED_VALUE"""),"1111 (32040-009-32050) ГРУШКИ - КИЕВ-ВОЛЫНСК")</f>
        <v>1111 (32040-009-32050) ГРУШКИ - КИЕВ-ВОЛЫНСК</v>
      </c>
      <c r="K195">
        <f ca="1">IFERROR(__xludf.DUMMYFUNCTION("""COMPUTED_VALUE"""),32040)</f>
        <v>32040</v>
      </c>
      <c r="L195" t="str">
        <f ca="1">IFERROR(__xludf.DUMMYFUNCTION("""COMPUTED_VALUE"""),"ГРУШКИ")</f>
        <v>ГРУШКИ</v>
      </c>
      <c r="M195" t="str">
        <f ca="1">IFERROR(__xludf.DUMMYFUNCTION("""COMPUTED_VALUE"""),"09.08.21 23-00")</f>
        <v>09.08.21 23-00</v>
      </c>
      <c r="N195" t="str">
        <f ca="1">IFERROR(__xludf.DUMMYFUNCTION("""COMPUTED_VALUE"""),"21 ВЫГ2")</f>
        <v>21 ВЫГ2</v>
      </c>
      <c r="O195">
        <f ca="1">IFERROR(__xludf.DUMMYFUNCTION("""COMPUTED_VALUE"""),49620)</f>
        <v>49620</v>
      </c>
      <c r="P195" t="str">
        <f ca="1">IFERROR(__xludf.DUMMYFUNCTION("""COMPUTED_VALUE"""),"ДЕКОНСКАЯ")</f>
        <v>ДЕКОНСКАЯ</v>
      </c>
      <c r="Q195">
        <f ca="1">IFERROR(__xludf.DUMMYFUNCTION("""COMPUTED_VALUE"""),49620)</f>
        <v>49620</v>
      </c>
      <c r="R195" t="str">
        <f ca="1">IFERROR(__xludf.DUMMYFUNCTION("""COMPUTED_VALUE"""),"ДЕКОНСКАЯ")</f>
        <v>ДЕКОНСКАЯ</v>
      </c>
      <c r="S195" t="str">
        <f ca="1">IFERROR(__xludf.DUMMYFUNCTION("""COMPUTED_VALUE"""),"01.08.21 04-20")</f>
        <v>01.08.21 04-20</v>
      </c>
      <c r="U195" t="str">
        <f ca="1">IFERROR(__xludf.DUMMYFUNCTION("""COMPUTED_VALUE"""),"13.12.2021 КР")</f>
        <v>13.12.2021 КР</v>
      </c>
      <c r="Z195" t="str">
        <f ca="1">IFERROR(__xludf.DUMMYFUNCTION("""COMPUTED_VALUE"""),"ООО «БГС РЕЙЛ»")</f>
        <v>ООО «БГС РЕЙЛ»</v>
      </c>
      <c r="AA195" t="str">
        <f ca="1">IFERROR(__xludf.DUMMYFUNCTION("""COMPUTED_VALUE"""),"11-270")</f>
        <v>11-270</v>
      </c>
      <c r="AB195" t="str">
        <f ca="1">IFERROR(__xludf.DUMMYFUNCTION("""COMPUTED_VALUE"""),"61 ПРИВ")</f>
        <v>61 ПРИВ</v>
      </c>
      <c r="AC195" t="str">
        <f ca="1">IFERROR(__xludf.DUMMYFUNCTION("""COMPUTED_VALUE"""),"61700 АКСАРАЙСК II")</f>
        <v>61700 АКСАРАЙСК II</v>
      </c>
      <c r="AD195" t="str">
        <f ca="1">IFERROR(__xludf.DUMMYFUNCTION("""COMPUTED_VALUE"""),"11.02.21 21-38")</f>
        <v>11.02.21 21-38</v>
      </c>
      <c r="AE195" t="str">
        <f ca="1">IFERROR(__xludf.DUMMYFUNCTION("""COMPUTED_VALUE"""),"107 ВЫЩEPБИНА OБOДA КOЛECA")</f>
        <v>107 ВЫЩEPБИНА OБOДA КOЛECA</v>
      </c>
      <c r="AF195" t="str">
        <f ca="1">IFERROR(__xludf.DUMMYFUNCTION("""COMPUTED_VALUE"""),"61 ПРИВ")</f>
        <v>61 ПРИВ</v>
      </c>
      <c r="AG195" t="str">
        <f ca="1">IFERROR(__xludf.DUMMYFUNCTION("""COMPUTED_VALUE"""),"61690 АСТРАХАНЬ II")</f>
        <v>61690 АСТРАХАНЬ II</v>
      </c>
      <c r="AH195" t="str">
        <f ca="1">IFERROR(__xludf.DUMMYFUNCTION("""COMPUTED_VALUE"""),"23.04.21 14-16")</f>
        <v>23.04.21 14-16</v>
      </c>
      <c r="AI195" s="21">
        <f ca="1">IFERROR(__xludf.DUMMYFUNCTION("""COMPUTED_VALUE"""),44420.3576736111)</f>
        <v>44420.357673611099</v>
      </c>
    </row>
    <row r="196" spans="1:35" ht="13" x14ac:dyDescent="0.15">
      <c r="A196">
        <f ca="1">IFERROR(__xludf.DUMMYFUNCTION("""COMPUTED_VALUE"""),482)</f>
        <v>482</v>
      </c>
      <c r="B196" t="str">
        <f ca="1">IFERROR(__xludf.DUMMYFUNCTION("""COMPUTED_VALUE"""),"Кнауф")</f>
        <v>Кнауф</v>
      </c>
      <c r="C196" t="str">
        <f ca="1">IFERROR(__xludf.DUMMYFUNCTION("""COMPUTED_VALUE"""),"АССТРА")</f>
        <v>АССТРА</v>
      </c>
      <c r="D196">
        <f ca="1">IFERROR(__xludf.DUMMYFUNCTION("""COMPUTED_VALUE"""),52524097)</f>
        <v>52524097</v>
      </c>
      <c r="E196" t="str">
        <f ca="1">IFERROR(__xludf.DUMMYFUNCTION("""COMPUTED_VALUE"""),"20 КРЫТЫЕ")</f>
        <v>20 КРЫТЫЕ</v>
      </c>
      <c r="F196">
        <f ca="1">IFERROR(__xludf.DUMMYFUNCTION("""COMPUTED_VALUE"""),28114)</f>
        <v>28114</v>
      </c>
      <c r="G196" t="str">
        <f ca="1">IFERROR(__xludf.DUMMYFUNCTION("""COMPUTED_VALUE"""),"ЦЕМЕНТ ПР")</f>
        <v>ЦЕМЕНТ ПР</v>
      </c>
      <c r="H196">
        <f ca="1">IFERROR(__xludf.DUMMYFUNCTION("""COMPUTED_VALUE"""),68)</f>
        <v>68</v>
      </c>
      <c r="I196">
        <f ca="1">IFERROR(__xludf.DUMMYFUNCTION("""COMPUTED_VALUE"""),1494)</f>
        <v>1494</v>
      </c>
      <c r="J196" t="str">
        <f ca="1">IFERROR(__xludf.DUMMYFUNCTION("""COMPUTED_VALUE"""),"1111 (38830-088-37000) ЯМНИЦА - ЛЬВОВ")</f>
        <v>1111 (38830-088-37000) ЯМНИЦА - ЛЬВОВ</v>
      </c>
      <c r="K196">
        <f ca="1">IFERROR(__xludf.DUMMYFUNCTION("""COMPUTED_VALUE"""),38830)</f>
        <v>38830</v>
      </c>
      <c r="L196" t="str">
        <f ca="1">IFERROR(__xludf.DUMMYFUNCTION("""COMPUTED_VALUE"""),"ЯМНИЦА")</f>
        <v>ЯМНИЦА</v>
      </c>
      <c r="M196" t="str">
        <f ca="1">IFERROR(__xludf.DUMMYFUNCTION("""COMPUTED_VALUE"""),"12.08.21 02-02")</f>
        <v>12.08.21 02-02</v>
      </c>
      <c r="N196" t="str">
        <f ca="1">IFERROR(__xludf.DUMMYFUNCTION("""COMPUTED_VALUE"""),"72 ОТЦ")</f>
        <v>72 ОТЦ</v>
      </c>
      <c r="O196">
        <f ca="1">IFERROR(__xludf.DUMMYFUNCTION("""COMPUTED_VALUE"""),44050)</f>
        <v>44050</v>
      </c>
      <c r="P196" t="str">
        <f ca="1">IFERROR(__xludf.DUMMYFUNCTION("""COMPUTED_VALUE"""),"ХАРЬКОВ-БАЛ")</f>
        <v>ХАРЬКОВ-БАЛ</v>
      </c>
      <c r="Q196">
        <f ca="1">IFERROR(__xludf.DUMMYFUNCTION("""COMPUTED_VALUE"""),38830)</f>
        <v>38830</v>
      </c>
      <c r="R196" t="str">
        <f ca="1">IFERROR(__xludf.DUMMYFUNCTION("""COMPUTED_VALUE"""),"ЯМНИЦА")</f>
        <v>ЯМНИЦА</v>
      </c>
      <c r="S196" t="str">
        <f ca="1">IFERROR(__xludf.DUMMYFUNCTION("""COMPUTED_VALUE"""),"11.08.21 01-40")</f>
        <v>11.08.21 01-40</v>
      </c>
      <c r="T196">
        <f ca="1">IFERROR(__xludf.DUMMYFUNCTION("""COMPUTED_VALUE"""),8199)</f>
        <v>8199</v>
      </c>
      <c r="U196" t="str">
        <f ca="1">IFERROR(__xludf.DUMMYFUNCTION("""COMPUTED_VALUE"""),"08.10.2022 ДР")</f>
        <v>08.10.2022 ДР</v>
      </c>
      <c r="Z196" t="str">
        <f ca="1">IFERROR(__xludf.DUMMYFUNCTION("""COMPUTED_VALUE"""),"ООО «БГС РЕЙЛ»")</f>
        <v>ООО «БГС РЕЙЛ»</v>
      </c>
      <c r="AA196" t="str">
        <f ca="1">IFERROR(__xludf.DUMMYFUNCTION("""COMPUTED_VALUE"""),"11-276")</f>
        <v>11-276</v>
      </c>
      <c r="AB196" t="str">
        <f ca="1">IFERROR(__xludf.DUMMYFUNCTION("""COMPUTED_VALUE"""),"40 ОД")</f>
        <v>40 ОД</v>
      </c>
      <c r="AC196" t="str">
        <f ca="1">IFERROR(__xludf.DUMMYFUNCTION("""COMPUTED_VALUE"""),"41000 ЗНАМЕНКА")</f>
        <v>41000 ЗНАМЕНКА</v>
      </c>
      <c r="AD196" t="str">
        <f ca="1">IFERROR(__xludf.DUMMYFUNCTION("""COMPUTED_VALUE"""),"06.10.19 05-00")</f>
        <v>06.10.19 05-00</v>
      </c>
      <c r="AE196" t="str">
        <f ca="1">IFERROR(__xludf.DUMMYFUNCTION("""COMPUTED_VALUE"""),"571 ИCТEК КAЛЕНДАРНЫЙ CPOК КAПИТAЛЬНОГО PEМOНТA")</f>
        <v>571 ИCТEК КAЛЕНДАРНЫЙ CPOК КAПИТAЛЬНОГО PEМOНТA</v>
      </c>
      <c r="AF196" t="str">
        <f ca="1">IFERROR(__xludf.DUMMYFUNCTION("""COMPUTED_VALUE"""),"40 ОД")</f>
        <v>40 ОД</v>
      </c>
      <c r="AG196" t="str">
        <f ca="1">IFERROR(__xludf.DUMMYFUNCTION("""COMPUTED_VALUE"""),"41000 ЗНАМЕНКА")</f>
        <v>41000 ЗНАМЕНКА</v>
      </c>
      <c r="AH196" t="str">
        <f ca="1">IFERROR(__xludf.DUMMYFUNCTION("""COMPUTED_VALUE"""),"08.10.19 11-30")</f>
        <v>08.10.19 11-30</v>
      </c>
      <c r="AI196" s="21">
        <f ca="1">IFERROR(__xludf.DUMMYFUNCTION("""COMPUTED_VALUE"""),44420.3576736111)</f>
        <v>44420.357673611099</v>
      </c>
    </row>
    <row r="197" spans="1:35" ht="13" x14ac:dyDescent="0.15">
      <c r="A197">
        <f ca="1">IFERROR(__xludf.DUMMYFUNCTION("""COMPUTED_VALUE"""),483)</f>
        <v>483</v>
      </c>
      <c r="B197" t="str">
        <f ca="1">IFERROR(__xludf.DUMMYFUNCTION("""COMPUTED_VALUE"""),"Кнауф")</f>
        <v>Кнауф</v>
      </c>
      <c r="C197" t="str">
        <f ca="1">IFERROR(__xludf.DUMMYFUNCTION("""COMPUTED_VALUE"""),"АССТРА РФ")</f>
        <v>АССТРА РФ</v>
      </c>
      <c r="D197">
        <f ca="1">IFERROR(__xludf.DUMMYFUNCTION("""COMPUTED_VALUE"""),52142635)</f>
        <v>52142635</v>
      </c>
      <c r="E197" t="str">
        <f ca="1">IFERROR(__xludf.DUMMYFUNCTION("""COMPUTED_VALUE"""),"28 КРЫТЫЕ_138")</f>
        <v>28 КРЫТЫЕ_138</v>
      </c>
      <c r="F197">
        <f ca="1">IFERROR(__xludf.DUMMYFUNCTION("""COMPUTED_VALUE"""),42119)</f>
        <v>42119</v>
      </c>
      <c r="G197" t="str">
        <f ca="1">IFERROR(__xludf.DUMMYFUNCTION("""COMPUTED_VALUE"""),"ВАГОНЫ ЖД РЕМОН")</f>
        <v>ВАГОНЫ ЖД РЕМОН</v>
      </c>
      <c r="H197">
        <f ca="1">IFERROR(__xludf.DUMMYFUNCTION("""COMPUTED_VALUE"""),0)</f>
        <v>0</v>
      </c>
      <c r="I197">
        <f ca="1">IFERROR(__xludf.DUMMYFUNCTION("""COMPUTED_VALUE"""),1426)</f>
        <v>1426</v>
      </c>
      <c r="J197" t="str">
        <f ca="1">IFERROR(__xludf.DUMMYFUNCTION("""COMPUTED_VALUE"""),"3501 (33580-013-33000) ВИННИЦА - ЖМЕРИНКА")</f>
        <v>3501 (33580-013-33000) ВИННИЦА - ЖМЕРИНКА</v>
      </c>
      <c r="K197">
        <f ca="1">IFERROR(__xludf.DUMMYFUNCTION("""COMPUTED_VALUE"""),33000)</f>
        <v>33000</v>
      </c>
      <c r="L197" t="str">
        <f ca="1">IFERROR(__xludf.DUMMYFUNCTION("""COMPUTED_VALUE"""),"ЖМЕРИНКА")</f>
        <v>ЖМЕРИНКА</v>
      </c>
      <c r="M197" t="str">
        <f ca="1">IFERROR(__xludf.DUMMYFUNCTION("""COMPUTED_VALUE"""),"11.08.21 19-35")</f>
        <v>11.08.21 19-35</v>
      </c>
      <c r="N197" t="str">
        <f ca="1">IFERROR(__xludf.DUMMYFUNCTION("""COMPUTED_VALUE"""),"51 ПРИБ")</f>
        <v>51 ПРИБ</v>
      </c>
      <c r="O197">
        <f ca="1">IFERROR(__xludf.DUMMYFUNCTION("""COMPUTED_VALUE"""),33000)</f>
        <v>33000</v>
      </c>
      <c r="P197" t="str">
        <f ca="1">IFERROR(__xludf.DUMMYFUNCTION("""COMPUTED_VALUE"""),"ЖМЕРИНКА")</f>
        <v>ЖМЕРИНКА</v>
      </c>
      <c r="Q197">
        <f ca="1">IFERROR(__xludf.DUMMYFUNCTION("""COMPUTED_VALUE"""),33580)</f>
        <v>33580</v>
      </c>
      <c r="R197" t="str">
        <f ca="1">IFERROR(__xludf.DUMMYFUNCTION("""COMPUTED_VALUE"""),"ВИННИЦА")</f>
        <v>ВИННИЦА</v>
      </c>
      <c r="S197" t="str">
        <f ca="1">IFERROR(__xludf.DUMMYFUNCTION("""COMPUTED_VALUE"""),"05.08.21 18-00")</f>
        <v>05.08.21 18-00</v>
      </c>
      <c r="T197">
        <f ca="1">IFERROR(__xludf.DUMMYFUNCTION("""COMPUTED_VALUE"""),8200)</f>
        <v>8200</v>
      </c>
      <c r="U197" t="str">
        <f ca="1">IFERROR(__xludf.DUMMYFUNCTION("""COMPUTED_VALUE"""),"14.11.2021 КР")</f>
        <v>14.11.2021 КР</v>
      </c>
      <c r="Z197" t="str">
        <f ca="1">IFERROR(__xludf.DUMMYFUNCTION("""COMPUTED_VALUE"""),"ООО «БГС РЕЙЛ»")</f>
        <v>ООО «БГС РЕЙЛ»</v>
      </c>
      <c r="AA197" t="str">
        <f ca="1">IFERROR(__xludf.DUMMYFUNCTION("""COMPUTED_VALUE"""),"11-286")</f>
        <v>11-286</v>
      </c>
      <c r="AB197" t="str">
        <f ca="1">IFERROR(__xludf.DUMMYFUNCTION("""COMPUTED_VALUE"""),"43 ЮЖН")</f>
        <v>43 ЮЖН</v>
      </c>
      <c r="AC197" t="str">
        <f ca="1">IFERROR(__xludf.DUMMYFUNCTION("""COMPUTED_VALUE"""),"44020 ОСНОВА")</f>
        <v>44020 ОСНОВА</v>
      </c>
      <c r="AD197" t="str">
        <f ca="1">IFERROR(__xludf.DUMMYFUNCTION("""COMPUTED_VALUE"""),"18.06.21 16-00")</f>
        <v>18.06.21 16-00</v>
      </c>
      <c r="AE197" t="str">
        <f ca="1">IFERROR(__xludf.DUMMYFUNCTION("""COMPUTED_VALUE"""),"537 НEИCПPAВНOCТЬ ЗAПOPA ДВEPИ")</f>
        <v>537 НEИCПPAВНOCТЬ ЗAПOPA ДВEPИ</v>
      </c>
      <c r="AF197" t="str">
        <f ca="1">IFERROR(__xludf.DUMMYFUNCTION("""COMPUTED_VALUE"""),"43 ЮЖН")</f>
        <v>43 ЮЖН</v>
      </c>
      <c r="AG197" t="str">
        <f ca="1">IFERROR(__xludf.DUMMYFUNCTION("""COMPUTED_VALUE"""),"44020 ОСНОВА")</f>
        <v>44020 ОСНОВА</v>
      </c>
      <c r="AH197" t="str">
        <f ca="1">IFERROR(__xludf.DUMMYFUNCTION("""COMPUTED_VALUE"""),"22.06.21 17-20")</f>
        <v>22.06.21 17-20</v>
      </c>
      <c r="AI197" s="21">
        <f ca="1">IFERROR(__xludf.DUMMYFUNCTION("""COMPUTED_VALUE"""),44420.3576736111)</f>
        <v>44420.357673611099</v>
      </c>
    </row>
    <row r="198" spans="1:35" ht="13" x14ac:dyDescent="0.15">
      <c r="A198">
        <f ca="1">IFERROR(__xludf.DUMMYFUNCTION("""COMPUTED_VALUE"""),484)</f>
        <v>484</v>
      </c>
      <c r="B198" t="str">
        <f ca="1">IFERROR(__xludf.DUMMYFUNCTION("""COMPUTED_VALUE"""),"Кнауф")</f>
        <v>Кнауф</v>
      </c>
      <c r="C198" t="str">
        <f ca="1">IFERROR(__xludf.DUMMYFUNCTION("""COMPUTED_VALUE"""),"АССТРА РФ")</f>
        <v>АССТРА РФ</v>
      </c>
      <c r="D198">
        <f ca="1">IFERROR(__xludf.DUMMYFUNCTION("""COMPUTED_VALUE"""),52539095)</f>
        <v>52539095</v>
      </c>
      <c r="E198" t="str">
        <f ca="1">IFERROR(__xludf.DUMMYFUNCTION("""COMPUTED_VALUE"""),"20 КРЫТЫЕ")</f>
        <v>20 КРЫТЫЕ</v>
      </c>
      <c r="F198">
        <f ca="1">IFERROR(__xludf.DUMMYFUNCTION("""COMPUTED_VALUE"""),28114)</f>
        <v>28114</v>
      </c>
      <c r="G198" t="str">
        <f ca="1">IFERROR(__xludf.DUMMYFUNCTION("""COMPUTED_VALUE"""),"ЦЕМЕНТ ПР")</f>
        <v>ЦЕМЕНТ ПР</v>
      </c>
      <c r="H198">
        <f ca="1">IFERROR(__xludf.DUMMYFUNCTION("""COMPUTED_VALUE"""),68)</f>
        <v>68</v>
      </c>
      <c r="I198">
        <f ca="1">IFERROR(__xludf.DUMMYFUNCTION("""COMPUTED_VALUE"""),3553)</f>
        <v>3553</v>
      </c>
      <c r="J198" t="str">
        <f ca="1">IFERROR(__xludf.DUMMYFUNCTION("""COMPUTED_VALUE"""),"2346 (38830-080-37000) ЯМНИЦА - ЛЬВОВ")</f>
        <v>2346 (38830-080-37000) ЯМНИЦА - ЛЬВОВ</v>
      </c>
      <c r="K198">
        <f ca="1">IFERROR(__xludf.DUMMYFUNCTION("""COMPUTED_VALUE"""),37000)</f>
        <v>37000</v>
      </c>
      <c r="L198" t="str">
        <f ca="1">IFERROR(__xludf.DUMMYFUNCTION("""COMPUTED_VALUE"""),"ЛЬВОВ")</f>
        <v>ЛЬВОВ</v>
      </c>
      <c r="M198" t="str">
        <f ca="1">IFERROR(__xludf.DUMMYFUNCTION("""COMPUTED_VALUE"""),"12.08.21 00-54")</f>
        <v>12.08.21 00-54</v>
      </c>
      <c r="N198" t="str">
        <f ca="1">IFERROR(__xludf.DUMMYFUNCTION("""COMPUTED_VALUE"""),"01 ПРИБ")</f>
        <v>01 ПРИБ</v>
      </c>
      <c r="O198">
        <f ca="1">IFERROR(__xludf.DUMMYFUNCTION("""COMPUTED_VALUE"""),44090)</f>
        <v>44090</v>
      </c>
      <c r="P198" t="str">
        <f ca="1">IFERROR(__xludf.DUMMYFUNCTION("""COMPUTED_VALUE"""),"ЗАЛЮТИНО")</f>
        <v>ЗАЛЮТИНО</v>
      </c>
      <c r="Q198">
        <f ca="1">IFERROR(__xludf.DUMMYFUNCTION("""COMPUTED_VALUE"""),38830)</f>
        <v>38830</v>
      </c>
      <c r="R198" t="str">
        <f ca="1">IFERROR(__xludf.DUMMYFUNCTION("""COMPUTED_VALUE"""),"ЯМНИЦА")</f>
        <v>ЯМНИЦА</v>
      </c>
      <c r="S198" t="str">
        <f ca="1">IFERROR(__xludf.DUMMYFUNCTION("""COMPUTED_VALUE"""),"09.08.21 18-20")</f>
        <v>09.08.21 18-20</v>
      </c>
      <c r="T198">
        <f ca="1">IFERROR(__xludf.DUMMYFUNCTION("""COMPUTED_VALUE"""),8199)</f>
        <v>8199</v>
      </c>
      <c r="U198" t="str">
        <f ca="1">IFERROR(__xludf.DUMMYFUNCTION("""COMPUTED_VALUE"""),"06.12.2021 КР")</f>
        <v>06.12.2021 КР</v>
      </c>
      <c r="Z198" t="str">
        <f ca="1">IFERROR(__xludf.DUMMYFUNCTION("""COMPUTED_VALUE"""),"ООО «БГС РЕЙЛ»")</f>
        <v>ООО «БГС РЕЙЛ»</v>
      </c>
      <c r="AA198" t="str">
        <f ca="1">IFERROR(__xludf.DUMMYFUNCTION("""COMPUTED_VALUE"""),"11-276")</f>
        <v>11-276</v>
      </c>
      <c r="AB198" t="str">
        <f ca="1">IFERROR(__xludf.DUMMYFUNCTION("""COMPUTED_VALUE"""),"48 ДОН")</f>
        <v>48 ДОН</v>
      </c>
      <c r="AC198" t="str">
        <f ca="1">IFERROR(__xludf.DUMMYFUNCTION("""COMPUTED_VALUE"""),"49480 СОЛЬ")</f>
        <v>49480 СОЛЬ</v>
      </c>
      <c r="AD198" t="str">
        <f ca="1">IFERROR(__xludf.DUMMYFUNCTION("""COMPUTED_VALUE"""),"07.06.21 05-02")</f>
        <v>07.06.21 05-02</v>
      </c>
      <c r="AE198" t="str">
        <f ca="1">IFERROR(__xludf.DUMMYFUNCTION("""COMPUTED_VALUE"""),"563")</f>
        <v>563</v>
      </c>
      <c r="AF198" t="str">
        <f ca="1">IFERROR(__xludf.DUMMYFUNCTION("""COMPUTED_VALUE"""),"48 ДОН")</f>
        <v>48 ДОН</v>
      </c>
      <c r="AG198" t="str">
        <f ca="1">IFERROR(__xludf.DUMMYFUNCTION("""COMPUTED_VALUE"""),"49480 СОЛЬ")</f>
        <v>49480 СОЛЬ</v>
      </c>
      <c r="AH198" t="str">
        <f ca="1">IFERROR(__xludf.DUMMYFUNCTION("""COMPUTED_VALUE"""),"27.06.21 16-00")</f>
        <v>27.06.21 16-00</v>
      </c>
      <c r="AI198" s="21">
        <f ca="1">IFERROR(__xludf.DUMMYFUNCTION("""COMPUTED_VALUE"""),44420.3576736111)</f>
        <v>44420.357673611099</v>
      </c>
    </row>
    <row r="199" spans="1:35" ht="13" x14ac:dyDescent="0.15">
      <c r="A199">
        <f ca="1">IFERROR(__xludf.DUMMYFUNCTION("""COMPUTED_VALUE"""),521)</f>
        <v>521</v>
      </c>
      <c r="B199" t="str">
        <f ca="1">IFERROR(__xludf.DUMMYFUNCTION("""COMPUTED_VALUE"""),"Кнауф")</f>
        <v>Кнауф</v>
      </c>
      <c r="C199" t="str">
        <f ca="1">IFERROR(__xludf.DUMMYFUNCTION("""COMPUTED_VALUE"""),"АССТРА")</f>
        <v>АССТРА</v>
      </c>
      <c r="D199">
        <f ca="1">IFERROR(__xludf.DUMMYFUNCTION("""COMPUTED_VALUE"""),52425774)</f>
        <v>52425774</v>
      </c>
      <c r="E199" t="str">
        <f ca="1">IFERROR(__xludf.DUMMYFUNCTION("""COMPUTED_VALUE"""),"20 КРЫТЫЕ")</f>
        <v>20 КРЫТЫЕ</v>
      </c>
      <c r="F199">
        <f ca="1">IFERROR(__xludf.DUMMYFUNCTION("""COMPUTED_VALUE"""),42103)</f>
        <v>42103</v>
      </c>
      <c r="G199" t="str">
        <f ca="1">IFERROR(__xludf.DUMMYFUNCTION("""COMPUTED_VALUE"""),"ВАГОНЫ ЖД СВ")</f>
        <v>ВАГОНЫ ЖД СВ</v>
      </c>
      <c r="H199">
        <f ca="1">IFERROR(__xludf.DUMMYFUNCTION("""COMPUTED_VALUE"""),0)</f>
        <v>0</v>
      </c>
      <c r="I199">
        <f ca="1">IFERROR(__xludf.DUMMYFUNCTION("""COMPUTED_VALUE"""),9999)</f>
        <v>9999</v>
      </c>
      <c r="J199" t="str">
        <f ca="1">IFERROR(__xludf.DUMMYFUNCTION("""COMPUTED_VALUE"""),"4831 (35900-004-35770) КИВЕРЦЫ - ГНИДАВА")</f>
        <v>4831 (35900-004-35770) КИВЕРЦЫ - ГНИДАВА</v>
      </c>
      <c r="K199">
        <f ca="1">IFERROR(__xludf.DUMMYFUNCTION("""COMPUTED_VALUE"""),35900)</f>
        <v>35900</v>
      </c>
      <c r="L199" t="str">
        <f ca="1">IFERROR(__xludf.DUMMYFUNCTION("""COMPUTED_VALUE"""),"КИВЕРЦЫ")</f>
        <v>КИВЕРЦЫ</v>
      </c>
      <c r="M199" t="str">
        <f ca="1">IFERROR(__xludf.DUMMYFUNCTION("""COMPUTED_VALUE"""),"09.08.21 19-10")</f>
        <v>09.08.21 19-10</v>
      </c>
      <c r="N199" t="str">
        <f ca="1">IFERROR(__xludf.DUMMYFUNCTION("""COMPUTED_VALUE"""),"85 ПРСТ")</f>
        <v>85 ПРСТ</v>
      </c>
      <c r="O199">
        <f ca="1">IFERROR(__xludf.DUMMYFUNCTION("""COMPUTED_VALUE"""),35260)</f>
        <v>35260</v>
      </c>
      <c r="P199" t="str">
        <f ca="1">IFERROR(__xludf.DUMMYFUNCTION("""COMPUTED_VALUE"""),"ИЗОВ-Э-ПКП")</f>
        <v>ИЗОВ-Э-ПКП</v>
      </c>
      <c r="Q199">
        <f ca="1">IFERROR(__xludf.DUMMYFUNCTION("""COMPUTED_VALUE"""),35780)</f>
        <v>35780</v>
      </c>
      <c r="R199" t="str">
        <f ca="1">IFERROR(__xludf.DUMMYFUNCTION("""COMPUTED_VALUE"""),"ЛУЦК")</f>
        <v>ЛУЦК</v>
      </c>
      <c r="S199" t="str">
        <f ca="1">IFERROR(__xludf.DUMMYFUNCTION("""COMPUTED_VALUE"""),"06.08.21 16-30")</f>
        <v>06.08.21 16-30</v>
      </c>
      <c r="T199">
        <f ca="1">IFERROR(__xludf.DUMMYFUNCTION("""COMPUTED_VALUE"""),8200)</f>
        <v>8200</v>
      </c>
      <c r="U199" t="str">
        <f ca="1">IFERROR(__xludf.DUMMYFUNCTION("""COMPUTED_VALUE"""),"08.12.2021 КР")</f>
        <v>08.12.2021 КР</v>
      </c>
      <c r="Z199" t="str">
        <f ca="1">IFERROR(__xludf.DUMMYFUNCTION("""COMPUTED_VALUE"""),"ООО «БГС РЕЙЛ»")</f>
        <v>ООО «БГС РЕЙЛ»</v>
      </c>
      <c r="AA199" t="str">
        <f ca="1">IFERROR(__xludf.DUMMYFUNCTION("""COMPUTED_VALUE"""),"11-270")</f>
        <v>11-270</v>
      </c>
      <c r="AB199" t="str">
        <f ca="1">IFERROR(__xludf.DUMMYFUNCTION("""COMPUTED_VALUE"""),"48 ДОН")</f>
        <v>48 ДОН</v>
      </c>
      <c r="AC199" t="str">
        <f ca="1">IFERROR(__xludf.DUMMYFUNCTION("""COMPUTED_VALUE"""),"49480 СОЛЬ")</f>
        <v>49480 СОЛЬ</v>
      </c>
      <c r="AD199" t="str">
        <f ca="1">IFERROR(__xludf.DUMMYFUNCTION("""COMPUTED_VALUE"""),"20.02.21 11-43")</f>
        <v>20.02.21 11-43</v>
      </c>
      <c r="AE199" t="str">
        <f ca="1">IFERROR(__xludf.DUMMYFUNCTION("""COMPUTED_VALUE"""),"563")</f>
        <v>563</v>
      </c>
      <c r="AF199" t="str">
        <f ca="1">IFERROR(__xludf.DUMMYFUNCTION("""COMPUTED_VALUE"""),"48 ДОН")</f>
        <v>48 ДОН</v>
      </c>
      <c r="AG199" t="str">
        <f ca="1">IFERROR(__xludf.DUMMYFUNCTION("""COMPUTED_VALUE"""),"49480 СОЛЬ")</f>
        <v>49480 СОЛЬ</v>
      </c>
      <c r="AH199" t="str">
        <f ca="1">IFERROR(__xludf.DUMMYFUNCTION("""COMPUTED_VALUE"""),"27.02.21 17-30")</f>
        <v>27.02.21 17-30</v>
      </c>
      <c r="AI199" s="21">
        <f ca="1">IFERROR(__xludf.DUMMYFUNCTION("""COMPUTED_VALUE"""),44420.3576736111)</f>
        <v>44420.357673611099</v>
      </c>
    </row>
    <row r="200" spans="1:35" ht="13" x14ac:dyDescent="0.15">
      <c r="A200">
        <f ca="1">IFERROR(__xludf.DUMMYFUNCTION("""COMPUTED_VALUE"""),620)</f>
        <v>620</v>
      </c>
      <c r="B200" t="str">
        <f ca="1">IFERROR(__xludf.DUMMYFUNCTION("""COMPUTED_VALUE"""),"Кнауф")</f>
        <v>Кнауф</v>
      </c>
      <c r="C200" t="str">
        <f ca="1">IFERROR(__xludf.DUMMYFUNCTION("""COMPUTED_VALUE"""),"Экспансия")</f>
        <v>Экспансия</v>
      </c>
      <c r="D200">
        <f ca="1">IFERROR(__xludf.DUMMYFUNCTION("""COMPUTED_VALUE"""),28326494)</f>
        <v>28326494</v>
      </c>
      <c r="E200" t="str">
        <f ca="1">IFERROR(__xludf.DUMMYFUNCTION("""COMPUTED_VALUE"""),"28 КРЫТЫЕ_138")</f>
        <v>28 КРЫТЫЕ_138</v>
      </c>
      <c r="F200">
        <f ca="1">IFERROR(__xludf.DUMMYFUNCTION("""COMPUTED_VALUE"""),25123)</f>
        <v>25123</v>
      </c>
      <c r="G200" t="str">
        <f ca="1">IFERROR(__xludf.DUMMYFUNCTION("""COMPUTED_VALUE"""),"ПЛИТЫ ГИПСОВ")</f>
        <v>ПЛИТЫ ГИПСОВ</v>
      </c>
      <c r="H200">
        <f ca="1">IFERROR(__xludf.DUMMYFUNCTION("""COMPUTED_VALUE"""),62)</f>
        <v>62</v>
      </c>
      <c r="I200">
        <f ca="1">IFERROR(__xludf.DUMMYFUNCTION("""COMPUTED_VALUE"""),3314)</f>
        <v>3314</v>
      </c>
      <c r="J200" t="str">
        <f ca="1">IFERROR(__xludf.DUMMYFUNCTION("""COMPUTED_VALUE"""),"3853 (32000-476-32050) ДАРНИЦА - КИЕВ-ВОЛЫНСК")</f>
        <v>3853 (32000-476-32050) ДАРНИЦА - КИЕВ-ВОЛЫНСК</v>
      </c>
      <c r="K200">
        <f ca="1">IFERROR(__xludf.DUMMYFUNCTION("""COMPUTED_VALUE"""),32050)</f>
        <v>32050</v>
      </c>
      <c r="L200" t="str">
        <f ca="1">IFERROR(__xludf.DUMMYFUNCTION("""COMPUTED_VALUE"""),"КИЕВ-ВОЛЫНСК")</f>
        <v>КИЕВ-ВОЛЫНСК</v>
      </c>
      <c r="M200" t="str">
        <f ca="1">IFERROR(__xludf.DUMMYFUNCTION("""COMPUTED_VALUE"""),"10.08.21 15-55")</f>
        <v>10.08.21 15-55</v>
      </c>
      <c r="N200" t="str">
        <f ca="1">IFERROR(__xludf.DUMMYFUNCTION("""COMPUTED_VALUE"""),"04 РАСФ")</f>
        <v>04 РАСФ</v>
      </c>
      <c r="O200">
        <f ca="1">IFERROR(__xludf.DUMMYFUNCTION("""COMPUTED_VALUE"""),32040)</f>
        <v>32040</v>
      </c>
      <c r="P200" t="str">
        <f ca="1">IFERROR(__xludf.DUMMYFUNCTION("""COMPUTED_VALUE"""),"ГРУШКИ")</f>
        <v>ГРУШКИ</v>
      </c>
      <c r="Q200">
        <f ca="1">IFERROR(__xludf.DUMMYFUNCTION("""COMPUTED_VALUE"""),49620)</f>
        <v>49620</v>
      </c>
      <c r="R200" t="str">
        <f ca="1">IFERROR(__xludf.DUMMYFUNCTION("""COMPUTED_VALUE"""),"ДЕКОНСКАЯ")</f>
        <v>ДЕКОНСКАЯ</v>
      </c>
      <c r="S200" t="str">
        <f ca="1">IFERROR(__xludf.DUMMYFUNCTION("""COMPUTED_VALUE"""),"05.08.21 09-00")</f>
        <v>05.08.21 09-00</v>
      </c>
      <c r="T200">
        <f ca="1">IFERROR(__xludf.DUMMYFUNCTION("""COMPUTED_VALUE"""),4149)</f>
        <v>4149</v>
      </c>
      <c r="U200" t="str">
        <f ca="1">IFERROR(__xludf.DUMMYFUNCTION("""COMPUTED_VALUE"""),"28.01.2023 ДР")</f>
        <v>28.01.2023 ДР</v>
      </c>
      <c r="Z200" t="str">
        <f ca="1">IFERROR(__xludf.DUMMYFUNCTION("""COMPUTED_VALUE"""),"ФЛП  Пасичная Валерия Григорьевна")</f>
        <v>ФЛП  Пасичная Валерия Григорьевна</v>
      </c>
      <c r="AA200" t="str">
        <f ca="1">IFERROR(__xludf.DUMMYFUNCTION("""COMPUTED_VALUE"""),"11-286")</f>
        <v>11-286</v>
      </c>
      <c r="AB200" t="str">
        <f ca="1">IFERROR(__xludf.DUMMYFUNCTION("""COMPUTED_VALUE"""),"48 ДОН")</f>
        <v>48 ДОН</v>
      </c>
      <c r="AC200" t="str">
        <f ca="1">IFERROR(__xludf.DUMMYFUNCTION("""COMPUTED_VALUE"""),"49600 ПОПАСНАЯ")</f>
        <v>49600 ПОПАСНАЯ</v>
      </c>
      <c r="AD200" t="str">
        <f ca="1">IFERROR(__xludf.DUMMYFUNCTION("""COMPUTED_VALUE"""),"02.07.21 12-30")</f>
        <v>02.07.21 12-30</v>
      </c>
      <c r="AE200" t="str">
        <f ca="1">IFERROR(__xludf.DUMMYFUNCTION("""COMPUTED_VALUE"""),"102 ТOНКИЙ ГPEБEНЬ")</f>
        <v>102 ТOНКИЙ ГPEБEНЬ</v>
      </c>
      <c r="AF200" t="str">
        <f ca="1">IFERROR(__xludf.DUMMYFUNCTION("""COMPUTED_VALUE"""),"48 ДОН")</f>
        <v>48 ДОН</v>
      </c>
      <c r="AG200" t="str">
        <f ca="1">IFERROR(__xludf.DUMMYFUNCTION("""COMPUTED_VALUE"""),"49600 ПОПАСНАЯ")</f>
        <v>49600 ПОПАСНАЯ</v>
      </c>
      <c r="AH200" t="str">
        <f ca="1">IFERROR(__xludf.DUMMYFUNCTION("""COMPUTED_VALUE"""),"05.07.21 13-00")</f>
        <v>05.07.21 13-00</v>
      </c>
      <c r="AI200" s="21">
        <f ca="1">IFERROR(__xludf.DUMMYFUNCTION("""COMPUTED_VALUE"""),44420.3576736111)</f>
        <v>44420.357673611099</v>
      </c>
    </row>
    <row r="201" spans="1:35" ht="13" x14ac:dyDescent="0.15">
      <c r="A201">
        <f ca="1">IFERROR(__xludf.DUMMYFUNCTION("""COMPUTED_VALUE"""),621)</f>
        <v>621</v>
      </c>
      <c r="B201" t="str">
        <f ca="1">IFERROR(__xludf.DUMMYFUNCTION("""COMPUTED_VALUE"""),"Кнауф")</f>
        <v>Кнауф</v>
      </c>
      <c r="C201" t="str">
        <f ca="1">IFERROR(__xludf.DUMMYFUNCTION("""COMPUTED_VALUE"""),"АССТРА РФ")</f>
        <v>АССТРА РФ</v>
      </c>
      <c r="D201">
        <f ca="1">IFERROR(__xludf.DUMMYFUNCTION("""COMPUTED_VALUE"""),52111887)</f>
        <v>52111887</v>
      </c>
      <c r="E201" t="str">
        <f ca="1">IFERROR(__xludf.DUMMYFUNCTION("""COMPUTED_VALUE"""),"28 КРЫТЫЕ_138")</f>
        <v>28 КРЫТЫЕ_138</v>
      </c>
      <c r="F201">
        <f ca="1">IFERROR(__xludf.DUMMYFUNCTION("""COMPUTED_VALUE"""),42103)</f>
        <v>42103</v>
      </c>
      <c r="G201" t="str">
        <f ca="1">IFERROR(__xludf.DUMMYFUNCTION("""COMPUTED_VALUE"""),"ВАГОНЫ ЖД СВ")</f>
        <v>ВАГОНЫ ЖД СВ</v>
      </c>
      <c r="H201">
        <f ca="1">IFERROR(__xludf.DUMMYFUNCTION("""COMPUTED_VALUE"""),0)</f>
        <v>0</v>
      </c>
      <c r="I201">
        <f ca="1">IFERROR(__xludf.DUMMYFUNCTION("""COMPUTED_VALUE"""),8199)</f>
        <v>8199</v>
      </c>
      <c r="J201" t="str">
        <f ca="1">IFERROR(__xludf.DUMMYFUNCTION("""COMPUTED_VALUE"""),"5555 (32000-600-00080) ДАРНИЦА -")</f>
        <v>5555 (32000-600-00080) ДАРНИЦА -</v>
      </c>
      <c r="K201">
        <f ca="1">IFERROR(__xludf.DUMMYFUNCTION("""COMPUTED_VALUE"""),32000)</f>
        <v>32000</v>
      </c>
      <c r="L201" t="str">
        <f ca="1">IFERROR(__xludf.DUMMYFUNCTION("""COMPUTED_VALUE"""),"ДАРНИЦА")</f>
        <v>ДАРНИЦА</v>
      </c>
      <c r="M201" t="str">
        <f ca="1">IFERROR(__xludf.DUMMYFUNCTION("""COMPUTED_VALUE"""),"12.08.21 03-37")</f>
        <v>12.08.21 03-37</v>
      </c>
      <c r="N201" t="str">
        <f ca="1">IFERROR(__xludf.DUMMYFUNCTION("""COMPUTED_VALUE"""),"05 ФОРМ")</f>
        <v>05 ФОРМ</v>
      </c>
      <c r="O201">
        <f ca="1">IFERROR(__xludf.DUMMYFUNCTION("""COMPUTED_VALUE"""),38830)</f>
        <v>38830</v>
      </c>
      <c r="P201" t="str">
        <f ca="1">IFERROR(__xludf.DUMMYFUNCTION("""COMPUTED_VALUE"""),"ЯМНИЦА")</f>
        <v>ЯМНИЦА</v>
      </c>
      <c r="Q201">
        <f ca="1">IFERROR(__xludf.DUMMYFUNCTION("""COMPUTED_VALUE"""),32040)</f>
        <v>32040</v>
      </c>
      <c r="R201" t="str">
        <f ca="1">IFERROR(__xludf.DUMMYFUNCTION("""COMPUTED_VALUE"""),"ГРУШКИ")</f>
        <v>ГРУШКИ</v>
      </c>
      <c r="S201" t="str">
        <f ca="1">IFERROR(__xludf.DUMMYFUNCTION("""COMPUTED_VALUE"""),"07.08.21 09-15")</f>
        <v>07.08.21 09-15</v>
      </c>
      <c r="T201">
        <f ca="1">IFERROR(__xludf.DUMMYFUNCTION("""COMPUTED_VALUE"""),8200)</f>
        <v>8200</v>
      </c>
      <c r="U201" t="str">
        <f ca="1">IFERROR(__xludf.DUMMYFUNCTION("""COMPUTED_VALUE"""),"13.01.2023 КР")</f>
        <v>13.01.2023 КР</v>
      </c>
      <c r="Z201" t="str">
        <f ca="1">IFERROR(__xludf.DUMMYFUNCTION("""COMPUTED_VALUE"""),"ООО «БГС РЕЙЛ»")</f>
        <v>ООО «БГС РЕЙЛ»</v>
      </c>
      <c r="AA201" t="str">
        <f ca="1">IFERROR(__xludf.DUMMYFUNCTION("""COMPUTED_VALUE"""),"11-280")</f>
        <v>11-280</v>
      </c>
      <c r="AB201" t="str">
        <f ca="1">IFERROR(__xludf.DUMMYFUNCTION("""COMPUTED_VALUE"""),"40 ОД")</f>
        <v>40 ОД</v>
      </c>
      <c r="AC201" t="str">
        <f ca="1">IFERROR(__xludf.DUMMYFUNCTION("""COMPUTED_VALUE"""),"40570 РАЗД-СОРТИРО")</f>
        <v>40570 РАЗД-СОРТИРО</v>
      </c>
      <c r="AD201" t="str">
        <f ca="1">IFERROR(__xludf.DUMMYFUNCTION("""COMPUTED_VALUE"""),"20.10.20 09-00")</f>
        <v>20.10.20 09-00</v>
      </c>
      <c r="AE201" t="str">
        <f ca="1">IFERROR(__xludf.DUMMYFUNCTION("""COMPUTED_VALUE"""),"537 НEИCПPAВНOCТЬ ЗAПOPA ДВEPИ")</f>
        <v>537 НEИCПPAВНOCТЬ ЗAПOPA ДВEPИ</v>
      </c>
      <c r="AF201" t="str">
        <f ca="1">IFERROR(__xludf.DUMMYFUNCTION("""COMPUTED_VALUE"""),"40 ОД")</f>
        <v>40 ОД</v>
      </c>
      <c r="AG201" t="str">
        <f ca="1">IFERROR(__xludf.DUMMYFUNCTION("""COMPUTED_VALUE"""),"40570 РАЗД-СОРТИРО")</f>
        <v>40570 РАЗД-СОРТИРО</v>
      </c>
      <c r="AH201" t="str">
        <f ca="1">IFERROR(__xludf.DUMMYFUNCTION("""COMPUTED_VALUE"""),"20.10.20 16-00")</f>
        <v>20.10.20 16-00</v>
      </c>
      <c r="AI201" s="21">
        <f ca="1">IFERROR(__xludf.DUMMYFUNCTION("""COMPUTED_VALUE"""),44420.3576736111)</f>
        <v>44420.357673611099</v>
      </c>
    </row>
    <row r="202" spans="1:35" ht="13" x14ac:dyDescent="0.15">
      <c r="A202">
        <f ca="1">IFERROR(__xludf.DUMMYFUNCTION("""COMPUTED_VALUE"""),636)</f>
        <v>636</v>
      </c>
      <c r="B202" t="str">
        <f ca="1">IFERROR(__xludf.DUMMYFUNCTION("""COMPUTED_VALUE"""),"Кнауф")</f>
        <v>Кнауф</v>
      </c>
      <c r="C202" t="str">
        <f ca="1">IFERROR(__xludf.DUMMYFUNCTION("""COMPUTED_VALUE"""),"ТЕГРА")</f>
        <v>ТЕГРА</v>
      </c>
      <c r="D202">
        <f ca="1">IFERROR(__xludf.DUMMYFUNCTION("""COMPUTED_VALUE"""),24374134)</f>
        <v>24374134</v>
      </c>
      <c r="E202" t="str">
        <f ca="1">IFERROR(__xludf.DUMMYFUNCTION("""COMPUTED_VALUE"""),"20 КРЫТЫЕ")</f>
        <v>20 КРЫТЫЕ</v>
      </c>
      <c r="F202">
        <f ca="1">IFERROR(__xludf.DUMMYFUNCTION("""COMPUTED_VALUE"""),42103)</f>
        <v>42103</v>
      </c>
      <c r="G202" t="str">
        <f ca="1">IFERROR(__xludf.DUMMYFUNCTION("""COMPUTED_VALUE"""),"ВАГОНЫ ЖД СВ")</f>
        <v>ВАГОНЫ ЖД СВ</v>
      </c>
      <c r="H202">
        <f ca="1">IFERROR(__xludf.DUMMYFUNCTION("""COMPUTED_VALUE"""),0)</f>
        <v>0</v>
      </c>
      <c r="I202">
        <f ca="1">IFERROR(__xludf.DUMMYFUNCTION("""COMPUTED_VALUE"""),4149)</f>
        <v>4149</v>
      </c>
      <c r="J202" t="str">
        <f ca="1">IFERROR(__xludf.DUMMYFUNCTION("""COMPUTED_VALUE"""),"3501 (44560-124-44020) БАСЫ - ОСНОВА")</f>
        <v>3501 (44560-124-44020) БАСЫ - ОСНОВА</v>
      </c>
      <c r="K202">
        <f ca="1">IFERROR(__xludf.DUMMYFUNCTION("""COMPUTED_VALUE"""),44020)</f>
        <v>44020</v>
      </c>
      <c r="L202" t="str">
        <f ca="1">IFERROR(__xludf.DUMMYFUNCTION("""COMPUTED_VALUE"""),"ОСНОВА")</f>
        <v>ОСНОВА</v>
      </c>
      <c r="M202" t="str">
        <f ca="1">IFERROR(__xludf.DUMMYFUNCTION("""COMPUTED_VALUE"""),"12.08.21 04-45")</f>
        <v>12.08.21 04-45</v>
      </c>
      <c r="N202" t="str">
        <f ca="1">IFERROR(__xludf.DUMMYFUNCTION("""COMPUTED_VALUE"""),"51 ПРИБ")</f>
        <v>51 ПРИБ</v>
      </c>
      <c r="O202">
        <f ca="1">IFERROR(__xludf.DUMMYFUNCTION("""COMPUTED_VALUE"""),49620)</f>
        <v>49620</v>
      </c>
      <c r="P202" t="str">
        <f ca="1">IFERROR(__xludf.DUMMYFUNCTION("""COMPUTED_VALUE"""),"ДЕКОНСКАЯ")</f>
        <v>ДЕКОНСКАЯ</v>
      </c>
      <c r="Q202">
        <f ca="1">IFERROR(__xludf.DUMMYFUNCTION("""COMPUTED_VALUE"""),44520)</f>
        <v>44520</v>
      </c>
      <c r="R202" t="str">
        <f ca="1">IFERROR(__xludf.DUMMYFUNCTION("""COMPUTED_VALUE"""),"ТОРОПИЛОВКА")</f>
        <v>ТОРОПИЛОВКА</v>
      </c>
      <c r="S202" t="str">
        <f ca="1">IFERROR(__xludf.DUMMYFUNCTION("""COMPUTED_VALUE"""),"09.08.21 17-00")</f>
        <v>09.08.21 17-00</v>
      </c>
      <c r="T202">
        <f ca="1">IFERROR(__xludf.DUMMYFUNCTION("""COMPUTED_VALUE"""),3971)</f>
        <v>3971</v>
      </c>
      <c r="U202" t="str">
        <f ca="1">IFERROR(__xludf.DUMMYFUNCTION("""COMPUTED_VALUE"""),"20.11.2022 ДР")</f>
        <v>20.11.2022 ДР</v>
      </c>
      <c r="Z202" t="str">
        <f ca="1">IFERROR(__xludf.DUMMYFUNCTION("""COMPUTED_VALUE"""),"ООО «ТЕГРА ЛОДЖИСТИКС»")</f>
        <v>ООО «ТЕГРА ЛОДЖИСТИКС»</v>
      </c>
      <c r="AA202" t="str">
        <f ca="1">IFERROR(__xludf.DUMMYFUNCTION("""COMPUTED_VALUE"""),"11-217")</f>
        <v>11-217</v>
      </c>
      <c r="AB202" t="str">
        <f ca="1">IFERROR(__xludf.DUMMYFUNCTION("""COMPUTED_VALUE"""),"48 ДОН")</f>
        <v>48 ДОН</v>
      </c>
      <c r="AC202" t="str">
        <f ca="1">IFERROR(__xludf.DUMMYFUNCTION("""COMPUTED_VALUE"""),"49000 ЛИМАН")</f>
        <v>49000 ЛИМАН</v>
      </c>
      <c r="AD202" t="str">
        <f ca="1">IFERROR(__xludf.DUMMYFUNCTION("""COMPUTED_VALUE"""),"16.07.21 20-20")</f>
        <v>16.07.21 20-20</v>
      </c>
      <c r="AE202" t="str">
        <f ca="1">IFERROR(__xludf.DUMMYFUNCTION("""COMPUTED_VALUE"""),"220 НECOOТВEТCТВИE ЗAЗОРОВ CКOЛЬЗУНA")</f>
        <v>220 НECOOТВEТCТВИE ЗAЗОРОВ CКOЛЬЗУНA</v>
      </c>
      <c r="AF202" t="str">
        <f ca="1">IFERROR(__xludf.DUMMYFUNCTION("""COMPUTED_VALUE"""),"48 ДОН")</f>
        <v>48 ДОН</v>
      </c>
      <c r="AG202" t="str">
        <f ca="1">IFERROR(__xludf.DUMMYFUNCTION("""COMPUTED_VALUE"""),"49000 ЛИМАН")</f>
        <v>49000 ЛИМАН</v>
      </c>
      <c r="AH202" t="str">
        <f ca="1">IFERROR(__xludf.DUMMYFUNCTION("""COMPUTED_VALUE"""),"18.07.21 18-00")</f>
        <v>18.07.21 18-00</v>
      </c>
      <c r="AI202" s="21">
        <f ca="1">IFERROR(__xludf.DUMMYFUNCTION("""COMPUTED_VALUE"""),44420.3576736111)</f>
        <v>44420.357673611099</v>
      </c>
    </row>
    <row r="203" spans="1:35" ht="13" x14ac:dyDescent="0.15">
      <c r="A203">
        <f ca="1">IFERROR(__xludf.DUMMYFUNCTION("""COMPUTED_VALUE"""),637)</f>
        <v>637</v>
      </c>
      <c r="B203" t="str">
        <f ca="1">IFERROR(__xludf.DUMMYFUNCTION("""COMPUTED_VALUE"""),"Кнауф")</f>
        <v>Кнауф</v>
      </c>
      <c r="C203" t="str">
        <f ca="1">IFERROR(__xludf.DUMMYFUNCTION("""COMPUTED_VALUE"""),"ТЕГРА")</f>
        <v>ТЕГРА</v>
      </c>
      <c r="D203">
        <f ca="1">IFERROR(__xludf.DUMMYFUNCTION("""COMPUTED_VALUE"""),24201261)</f>
        <v>24201261</v>
      </c>
      <c r="E203" t="str">
        <f ca="1">IFERROR(__xludf.DUMMYFUNCTION("""COMPUTED_VALUE"""),"20 КРЫТЫЕ")</f>
        <v>20 КРЫТЫЕ</v>
      </c>
      <c r="F203">
        <f ca="1">IFERROR(__xludf.DUMMYFUNCTION("""COMPUTED_VALUE"""),42103)</f>
        <v>42103</v>
      </c>
      <c r="G203" t="str">
        <f ca="1">IFERROR(__xludf.DUMMYFUNCTION("""COMPUTED_VALUE"""),"ВАГОНЫ ЖД СВ")</f>
        <v>ВАГОНЫ ЖД СВ</v>
      </c>
      <c r="H203">
        <f ca="1">IFERROR(__xludf.DUMMYFUNCTION("""COMPUTED_VALUE"""),0)</f>
        <v>0</v>
      </c>
      <c r="I203">
        <f ca="1">IFERROR(__xludf.DUMMYFUNCTION("""COMPUTED_VALUE"""),8199)</f>
        <v>8199</v>
      </c>
      <c r="J203" t="str">
        <f ca="1">IFERROR(__xludf.DUMMYFUNCTION("""COMPUTED_VALUE"""),"1111 (38840-016-38830) ИВАНО-ФРАНК - ЯМНИЦА")</f>
        <v>1111 (38840-016-38830) ИВАНО-ФРАНК - ЯМНИЦА</v>
      </c>
      <c r="K203">
        <f ca="1">IFERROR(__xludf.DUMMYFUNCTION("""COMPUTED_VALUE"""),38830)</f>
        <v>38830</v>
      </c>
      <c r="L203" t="str">
        <f ca="1">IFERROR(__xludf.DUMMYFUNCTION("""COMPUTED_VALUE"""),"ЯМНИЦА")</f>
        <v>ЯМНИЦА</v>
      </c>
      <c r="M203" t="str">
        <f ca="1">IFERROR(__xludf.DUMMYFUNCTION("""COMPUTED_VALUE"""),"11.08.21 04-00")</f>
        <v>11.08.21 04-00</v>
      </c>
      <c r="N203" t="str">
        <f ca="1">IFERROR(__xludf.DUMMYFUNCTION("""COMPUTED_VALUE"""),"98 ОТОТ")</f>
        <v>98 ОТОТ</v>
      </c>
      <c r="O203">
        <f ca="1">IFERROR(__xludf.DUMMYFUNCTION("""COMPUTED_VALUE"""),38830)</f>
        <v>38830</v>
      </c>
      <c r="P203" t="str">
        <f ca="1">IFERROR(__xludf.DUMMYFUNCTION("""COMPUTED_VALUE"""),"ЯМНИЦА")</f>
        <v>ЯМНИЦА</v>
      </c>
      <c r="Q203">
        <f ca="1">IFERROR(__xludf.DUMMYFUNCTION("""COMPUTED_VALUE"""),38840)</f>
        <v>38840</v>
      </c>
      <c r="R203" t="str">
        <f ca="1">IFERROR(__xludf.DUMMYFUNCTION("""COMPUTED_VALUE"""),"ИВАНО-ФРАНК")</f>
        <v>ИВАНО-ФРАНК</v>
      </c>
      <c r="S203" t="str">
        <f ca="1">IFERROR(__xludf.DUMMYFUNCTION("""COMPUTED_VALUE"""),"08.08.21 16-00")</f>
        <v>08.08.21 16-00</v>
      </c>
      <c r="T203">
        <f ca="1">IFERROR(__xludf.DUMMYFUNCTION("""COMPUTED_VALUE"""),8200)</f>
        <v>8200</v>
      </c>
      <c r="U203" t="str">
        <f ca="1">IFERROR(__xludf.DUMMYFUNCTION("""COMPUTED_VALUE"""),"19.11.2022 ДР")</f>
        <v>19.11.2022 ДР</v>
      </c>
      <c r="Z203" t="str">
        <f ca="1">IFERROR(__xludf.DUMMYFUNCTION("""COMPUTED_VALUE"""),"ООО «ТЕГРА ЛОДЖИСТИКС»")</f>
        <v>ООО «ТЕГРА ЛОДЖИСТИКС»</v>
      </c>
      <c r="AA203" t="str">
        <f ca="1">IFERROR(__xludf.DUMMYFUNCTION("""COMPUTED_VALUE"""),"11-217")</f>
        <v>11-217</v>
      </c>
      <c r="AB203" t="str">
        <f ca="1">IFERROR(__xludf.DUMMYFUNCTION("""COMPUTED_VALUE"""),"48 ДОН")</f>
        <v>48 ДОН</v>
      </c>
      <c r="AC203" t="str">
        <f ca="1">IFERROR(__xludf.DUMMYFUNCTION("""COMPUTED_VALUE"""),"49480 СОЛЬ")</f>
        <v>49480 СОЛЬ</v>
      </c>
      <c r="AD203" t="str">
        <f ca="1">IFERROR(__xludf.DUMMYFUNCTION("""COMPUTED_VALUE"""),"20.02.21 11-44")</f>
        <v>20.02.21 11-44</v>
      </c>
      <c r="AE203" t="str">
        <f ca="1">IFERROR(__xludf.DUMMYFUNCTION("""COMPUTED_VALUE"""),"563")</f>
        <v>563</v>
      </c>
      <c r="AF203" t="str">
        <f ca="1">IFERROR(__xludf.DUMMYFUNCTION("""COMPUTED_VALUE"""),"48 ДОН")</f>
        <v>48 ДОН</v>
      </c>
      <c r="AG203" t="str">
        <f ca="1">IFERROR(__xludf.DUMMYFUNCTION("""COMPUTED_VALUE"""),"49480 СОЛЬ")</f>
        <v>49480 СОЛЬ</v>
      </c>
      <c r="AH203" t="str">
        <f ca="1">IFERROR(__xludf.DUMMYFUNCTION("""COMPUTED_VALUE"""),"27.02.21 17-30")</f>
        <v>27.02.21 17-30</v>
      </c>
      <c r="AI203" s="21">
        <f ca="1">IFERROR(__xludf.DUMMYFUNCTION("""COMPUTED_VALUE"""),44420.3576736111)</f>
        <v>44420.357673611099</v>
      </c>
    </row>
    <row r="204" spans="1:35" ht="13" x14ac:dyDescent="0.15">
      <c r="A204">
        <f ca="1">IFERROR(__xludf.DUMMYFUNCTION("""COMPUTED_VALUE"""),638)</f>
        <v>638</v>
      </c>
      <c r="B204" t="str">
        <f ca="1">IFERROR(__xludf.DUMMYFUNCTION("""COMPUTED_VALUE"""),"Кнауф")</f>
        <v>Кнауф</v>
      </c>
      <c r="C204" t="str">
        <f ca="1">IFERROR(__xludf.DUMMYFUNCTION("""COMPUTED_VALUE"""),"ТЕГРА")</f>
        <v>ТЕГРА</v>
      </c>
      <c r="D204">
        <f ca="1">IFERROR(__xludf.DUMMYFUNCTION("""COMPUTED_VALUE"""),24259780)</f>
        <v>24259780</v>
      </c>
      <c r="E204" t="str">
        <f ca="1">IFERROR(__xludf.DUMMYFUNCTION("""COMPUTED_VALUE"""),"20 КРЫТЫЕ")</f>
        <v>20 КРЫТЫЕ</v>
      </c>
      <c r="F204">
        <f ca="1">IFERROR(__xludf.DUMMYFUNCTION("""COMPUTED_VALUE"""),42103)</f>
        <v>42103</v>
      </c>
      <c r="G204" t="str">
        <f ca="1">IFERROR(__xludf.DUMMYFUNCTION("""COMPUTED_VALUE"""),"ВАГОНЫ ЖД СВ")</f>
        <v>ВАГОНЫ ЖД СВ</v>
      </c>
      <c r="H204">
        <f ca="1">IFERROR(__xludf.DUMMYFUNCTION("""COMPUTED_VALUE"""),0)</f>
        <v>0</v>
      </c>
      <c r="I204">
        <f ca="1">IFERROR(__xludf.DUMMYFUNCTION("""COMPUTED_VALUE"""),4714)</f>
        <v>4714</v>
      </c>
      <c r="J204" t="str">
        <f ca="1">IFERROR(__xludf.DUMMYFUNCTION("""COMPUTED_VALUE"""),"3501 (49000-780-49480) ЛИМАН - СОЛЬ")</f>
        <v>3501 (49000-780-49480) ЛИМАН - СОЛЬ</v>
      </c>
      <c r="K204">
        <f ca="1">IFERROR(__xludf.DUMMYFUNCTION("""COMPUTED_VALUE"""),49480)</f>
        <v>49480</v>
      </c>
      <c r="L204" t="str">
        <f ca="1">IFERROR(__xludf.DUMMYFUNCTION("""COMPUTED_VALUE"""),"СОЛЬ")</f>
        <v>СОЛЬ</v>
      </c>
      <c r="M204" t="str">
        <f ca="1">IFERROR(__xludf.DUMMYFUNCTION("""COMPUTED_VALUE"""),"12.08.21 08-12")</f>
        <v>12.08.21 08-12</v>
      </c>
      <c r="N204" t="str">
        <f ca="1">IFERROR(__xludf.DUMMYFUNCTION("""COMPUTED_VALUE"""),"04 РАСФ")</f>
        <v>04 РАСФ</v>
      </c>
      <c r="O204">
        <f ca="1">IFERROR(__xludf.DUMMYFUNCTION("""COMPUTED_VALUE"""),49480)</f>
        <v>49480</v>
      </c>
      <c r="P204" t="str">
        <f ca="1">IFERROR(__xludf.DUMMYFUNCTION("""COMPUTED_VALUE"""),"СОЛЬ")</f>
        <v>СОЛЬ</v>
      </c>
      <c r="Q204">
        <f ca="1">IFERROR(__xludf.DUMMYFUNCTION("""COMPUTED_VALUE"""),49210)</f>
        <v>49210</v>
      </c>
      <c r="R204" t="str">
        <f ca="1">IFERROR(__xludf.DUMMYFUNCTION("""COMPUTED_VALUE"""),"СЛАВЯНСК-ВЕТ")</f>
        <v>СЛАВЯНСК-ВЕТ</v>
      </c>
      <c r="S204" t="str">
        <f ca="1">IFERROR(__xludf.DUMMYFUNCTION("""COMPUTED_VALUE"""),"10.08.21 10-40")</f>
        <v>10.08.21 10-40</v>
      </c>
      <c r="T204">
        <f ca="1">IFERROR(__xludf.DUMMYFUNCTION("""COMPUTED_VALUE"""),8200)</f>
        <v>8200</v>
      </c>
      <c r="U204" t="str">
        <f ca="1">IFERROR(__xludf.DUMMYFUNCTION("""COMPUTED_VALUE"""),"19.11.2022 ДР")</f>
        <v>19.11.2022 ДР</v>
      </c>
      <c r="Z204" t="str">
        <f ca="1">IFERROR(__xludf.DUMMYFUNCTION("""COMPUTED_VALUE"""),"ООО «ТЕГРА ЛОДЖИСТИКС»")</f>
        <v>ООО «ТЕГРА ЛОДЖИСТИКС»</v>
      </c>
      <c r="AA204" t="str">
        <f ca="1">IFERROR(__xludf.DUMMYFUNCTION("""COMPUTED_VALUE"""),"11-217")</f>
        <v>11-217</v>
      </c>
      <c r="AB204" t="str">
        <f ca="1">IFERROR(__xludf.DUMMYFUNCTION("""COMPUTED_VALUE"""),"43 ЮЖН")</f>
        <v>43 ЮЖН</v>
      </c>
      <c r="AC204" t="str">
        <f ca="1">IFERROR(__xludf.DUMMYFUNCTION("""COMPUTED_VALUE"""),"44020 ОСНОВА")</f>
        <v>44020 ОСНОВА</v>
      </c>
      <c r="AD204" t="str">
        <f ca="1">IFERROR(__xludf.DUMMYFUNCTION("""COMPUTED_VALUE"""),"23.05.21 10-45")</f>
        <v>23.05.21 10-45</v>
      </c>
      <c r="AE204" t="str">
        <f ca="1">IFERROR(__xludf.DUMMYFUNCTION("""COMPUTED_VALUE"""),"537 НEИCПPAВНOCТЬ ЗAПOPA ДВEPИ")</f>
        <v>537 НEИCПPAВНOCТЬ ЗAПOPA ДВEPИ</v>
      </c>
      <c r="AF204" t="str">
        <f ca="1">IFERROR(__xludf.DUMMYFUNCTION("""COMPUTED_VALUE"""),"43 ЮЖН")</f>
        <v>43 ЮЖН</v>
      </c>
      <c r="AG204" t="str">
        <f ca="1">IFERROR(__xludf.DUMMYFUNCTION("""COMPUTED_VALUE"""),"44020 ОСНОВА")</f>
        <v>44020 ОСНОВА</v>
      </c>
      <c r="AH204" t="str">
        <f ca="1">IFERROR(__xludf.DUMMYFUNCTION("""COMPUTED_VALUE"""),"25.05.21 17-20")</f>
        <v>25.05.21 17-20</v>
      </c>
      <c r="AI204" s="21">
        <f ca="1">IFERROR(__xludf.DUMMYFUNCTION("""COMPUTED_VALUE"""),44420.3576736111)</f>
        <v>44420.357673611099</v>
      </c>
    </row>
    <row r="205" spans="1:35" ht="13" x14ac:dyDescent="0.15">
      <c r="A205">
        <f ca="1">IFERROR(__xludf.DUMMYFUNCTION("""COMPUTED_VALUE"""),639)</f>
        <v>639</v>
      </c>
      <c r="B205" t="str">
        <f ca="1">IFERROR(__xludf.DUMMYFUNCTION("""COMPUTED_VALUE"""),"Кнауф")</f>
        <v>Кнауф</v>
      </c>
      <c r="C205" t="str">
        <f ca="1">IFERROR(__xludf.DUMMYFUNCTION("""COMPUTED_VALUE"""),"ТЕГРА")</f>
        <v>ТЕГРА</v>
      </c>
      <c r="D205">
        <f ca="1">IFERROR(__xludf.DUMMYFUNCTION("""COMPUTED_VALUE"""),24374340)</f>
        <v>24374340</v>
      </c>
      <c r="E205" t="str">
        <f ca="1">IFERROR(__xludf.DUMMYFUNCTION("""COMPUTED_VALUE"""),"20 КРЫТЫЕ")</f>
        <v>20 КРЫТЫЕ</v>
      </c>
      <c r="F205">
        <f ca="1">IFERROR(__xludf.DUMMYFUNCTION("""COMPUTED_VALUE"""),23304)</f>
        <v>23304</v>
      </c>
      <c r="G205" t="str">
        <f ca="1">IFERROR(__xludf.DUMMYFUNCTION("""COMPUTED_VALUE"""),"ГИПС ПР")</f>
        <v>ГИПС ПР</v>
      </c>
      <c r="H205">
        <f ca="1">IFERROR(__xludf.DUMMYFUNCTION("""COMPUTED_VALUE"""),65)</f>
        <v>65</v>
      </c>
      <c r="I205">
        <f ca="1">IFERROR(__xludf.DUMMYFUNCTION("""COMPUTED_VALUE"""),3314)</f>
        <v>3314</v>
      </c>
      <c r="J205" t="str">
        <f ca="1">IFERROR(__xludf.DUMMYFUNCTION("""COMPUTED_VALUE"""),"2715 (44020-178-32000) ОСНОВА - ДАРНИЦА")</f>
        <v>2715 (44020-178-32000) ОСНОВА - ДАРНИЦА</v>
      </c>
      <c r="K205">
        <f ca="1">IFERROR(__xludf.DUMMYFUNCTION("""COMPUTED_VALUE"""),32300)</f>
        <v>32300</v>
      </c>
      <c r="L205" t="str">
        <f ca="1">IFERROR(__xludf.DUMMYFUNCTION("""COMPUTED_VALUE"""),"ЯГОТИН")</f>
        <v>ЯГОТИН</v>
      </c>
      <c r="M205" t="str">
        <f ca="1">IFERROR(__xludf.DUMMYFUNCTION("""COMPUTED_VALUE"""),"12.08.21 08-20")</f>
        <v>12.08.21 08-20</v>
      </c>
      <c r="N205" t="str">
        <f ca="1">IFERROR(__xludf.DUMMYFUNCTION("""COMPUTED_VALUE"""),"02 ОТПР")</f>
        <v>02 ОТПР</v>
      </c>
      <c r="O205">
        <f ca="1">IFERROR(__xludf.DUMMYFUNCTION("""COMPUTED_VALUE"""),32040)</f>
        <v>32040</v>
      </c>
      <c r="P205" t="str">
        <f ca="1">IFERROR(__xludf.DUMMYFUNCTION("""COMPUTED_VALUE"""),"ГРУШКИ")</f>
        <v>ГРУШКИ</v>
      </c>
      <c r="Q205">
        <f ca="1">IFERROR(__xludf.DUMMYFUNCTION("""COMPUTED_VALUE"""),49620)</f>
        <v>49620</v>
      </c>
      <c r="R205" t="str">
        <f ca="1">IFERROR(__xludf.DUMMYFUNCTION("""COMPUTED_VALUE"""),"ДЕКОНСКАЯ")</f>
        <v>ДЕКОНСКАЯ</v>
      </c>
      <c r="S205" t="str">
        <f ca="1">IFERROR(__xludf.DUMMYFUNCTION("""COMPUTED_VALUE"""),"08.08.21 07-45")</f>
        <v>08.08.21 07-45</v>
      </c>
      <c r="T205">
        <f ca="1">IFERROR(__xludf.DUMMYFUNCTION("""COMPUTED_VALUE"""),4149)</f>
        <v>4149</v>
      </c>
      <c r="U205" t="str">
        <f ca="1">IFERROR(__xludf.DUMMYFUNCTION("""COMPUTED_VALUE"""),"30.10.2022 ДР")</f>
        <v>30.10.2022 ДР</v>
      </c>
      <c r="Z205" t="str">
        <f ca="1">IFERROR(__xludf.DUMMYFUNCTION("""COMPUTED_VALUE"""),"ООО «ТЕГРА ЛОДЖИСТИКС»")</f>
        <v>ООО «ТЕГРА ЛОДЖИСТИКС»</v>
      </c>
      <c r="AA205" t="str">
        <f ca="1">IFERROR(__xludf.DUMMYFUNCTION("""COMPUTED_VALUE"""),"11-217")</f>
        <v>11-217</v>
      </c>
      <c r="AB205" t="str">
        <f ca="1">IFERROR(__xludf.DUMMYFUNCTION("""COMPUTED_VALUE"""),"48 ДОН")</f>
        <v>48 ДОН</v>
      </c>
      <c r="AC205" t="str">
        <f ca="1">IFERROR(__xludf.DUMMYFUNCTION("""COMPUTED_VALUE"""),"49480 СОЛЬ")</f>
        <v>49480 СОЛЬ</v>
      </c>
      <c r="AD205" t="str">
        <f ca="1">IFERROR(__xludf.DUMMYFUNCTION("""COMPUTED_VALUE"""),"04.06.21 12-15")</f>
        <v>04.06.21 12-15</v>
      </c>
      <c r="AE205" t="str">
        <f ca="1">IFERROR(__xludf.DUMMYFUNCTION("""COMPUTED_VALUE"""),"563")</f>
        <v>563</v>
      </c>
      <c r="AF205" t="str">
        <f ca="1">IFERROR(__xludf.DUMMYFUNCTION("""COMPUTED_VALUE"""),"48 ДОН")</f>
        <v>48 ДОН</v>
      </c>
      <c r="AG205" t="str">
        <f ca="1">IFERROR(__xludf.DUMMYFUNCTION("""COMPUTED_VALUE"""),"49480 СОЛЬ")</f>
        <v>49480 СОЛЬ</v>
      </c>
      <c r="AH205" t="str">
        <f ca="1">IFERROR(__xludf.DUMMYFUNCTION("""COMPUTED_VALUE"""),"08.06.21 16-30")</f>
        <v>08.06.21 16-30</v>
      </c>
      <c r="AI205" s="21">
        <f ca="1">IFERROR(__xludf.DUMMYFUNCTION("""COMPUTED_VALUE"""),44420.3576736111)</f>
        <v>44420.357673611099</v>
      </c>
    </row>
    <row r="206" spans="1:35" ht="13" x14ac:dyDescent="0.15">
      <c r="A206">
        <f ca="1">IFERROR(__xludf.DUMMYFUNCTION("""COMPUTED_VALUE"""),640)</f>
        <v>640</v>
      </c>
      <c r="B206" t="str">
        <f ca="1">IFERROR(__xludf.DUMMYFUNCTION("""COMPUTED_VALUE"""),"Кнауф")</f>
        <v>Кнауф</v>
      </c>
      <c r="C206" t="str">
        <f ca="1">IFERROR(__xludf.DUMMYFUNCTION("""COMPUTED_VALUE"""),"ТЕГРА")</f>
        <v>ТЕГРА</v>
      </c>
      <c r="D206">
        <f ca="1">IFERROR(__xludf.DUMMYFUNCTION("""COMPUTED_VALUE"""),24201030)</f>
        <v>24201030</v>
      </c>
      <c r="E206" t="str">
        <f ca="1">IFERROR(__xludf.DUMMYFUNCTION("""COMPUTED_VALUE"""),"20 КРЫТЫЕ")</f>
        <v>20 КРЫТЫЕ</v>
      </c>
      <c r="F206">
        <f ca="1">IFERROR(__xludf.DUMMYFUNCTION("""COMPUTED_VALUE"""),28114)</f>
        <v>28114</v>
      </c>
      <c r="G206" t="str">
        <f ca="1">IFERROR(__xludf.DUMMYFUNCTION("""COMPUTED_VALUE"""),"ЦЕМЕНТ ПР")</f>
        <v>ЦЕМЕНТ ПР</v>
      </c>
      <c r="H206">
        <f ca="1">IFERROR(__xludf.DUMMYFUNCTION("""COMPUTED_VALUE"""),68)</f>
        <v>68</v>
      </c>
      <c r="I206">
        <f ca="1">IFERROR(__xludf.DUMMYFUNCTION("""COMPUTED_VALUE"""),1494)</f>
        <v>1494</v>
      </c>
      <c r="J206" t="str">
        <f ca="1">IFERROR(__xludf.DUMMYFUNCTION("""COMPUTED_VALUE"""),"5555 (44000-273-00050) ХАРЬКОВ-СОРТ -")</f>
        <v>5555 (44000-273-00050) ХАРЬКОВ-СОРТ -</v>
      </c>
      <c r="K206">
        <f ca="1">IFERROR(__xludf.DUMMYFUNCTION("""COMPUTED_VALUE"""),44000)</f>
        <v>44000</v>
      </c>
      <c r="L206" t="str">
        <f ca="1">IFERROR(__xludf.DUMMYFUNCTION("""COMPUTED_VALUE"""),"ХАРЬКОВ-СОРТ")</f>
        <v>ХАРЬКОВ-СОРТ</v>
      </c>
      <c r="M206" t="str">
        <f ca="1">IFERROR(__xludf.DUMMYFUNCTION("""COMPUTED_VALUE"""),"12.08.21 07-10")</f>
        <v>12.08.21 07-10</v>
      </c>
      <c r="N206" t="str">
        <f ca="1">IFERROR(__xludf.DUMMYFUNCTION("""COMPUTED_VALUE"""),"04 РАСФ")</f>
        <v>04 РАСФ</v>
      </c>
      <c r="O206">
        <f ca="1">IFERROR(__xludf.DUMMYFUNCTION("""COMPUTED_VALUE"""),44050)</f>
        <v>44050</v>
      </c>
      <c r="P206" t="str">
        <f ca="1">IFERROR(__xludf.DUMMYFUNCTION("""COMPUTED_VALUE"""),"ХАРЬКОВ-БАЛ")</f>
        <v>ХАРЬКОВ-БАЛ</v>
      </c>
      <c r="Q206">
        <f ca="1">IFERROR(__xludf.DUMMYFUNCTION("""COMPUTED_VALUE"""),38830)</f>
        <v>38830</v>
      </c>
      <c r="R206" t="str">
        <f ca="1">IFERROR(__xludf.DUMMYFUNCTION("""COMPUTED_VALUE"""),"ЯМНИЦА")</f>
        <v>ЯМНИЦА</v>
      </c>
      <c r="S206" t="str">
        <f ca="1">IFERROR(__xludf.DUMMYFUNCTION("""COMPUTED_VALUE"""),"07.08.21 02-30")</f>
        <v>07.08.21 02-30</v>
      </c>
      <c r="T206">
        <f ca="1">IFERROR(__xludf.DUMMYFUNCTION("""COMPUTED_VALUE"""),8199)</f>
        <v>8199</v>
      </c>
      <c r="U206" t="str">
        <f ca="1">IFERROR(__xludf.DUMMYFUNCTION("""COMPUTED_VALUE"""),"30.10.2022 ДР")</f>
        <v>30.10.2022 ДР</v>
      </c>
      <c r="Z206" t="str">
        <f ca="1">IFERROR(__xludf.DUMMYFUNCTION("""COMPUTED_VALUE"""),"ООО «ТЕГРА ЛОДЖИСТИКС»")</f>
        <v>ООО «ТЕГРА ЛОДЖИСТИКС»</v>
      </c>
      <c r="AA206" t="str">
        <f ca="1">IFERROR(__xludf.DUMMYFUNCTION("""COMPUTED_VALUE"""),"11-217")</f>
        <v>11-217</v>
      </c>
      <c r="AB206" t="str">
        <f ca="1">IFERROR(__xludf.DUMMYFUNCTION("""COMPUTED_VALUE"""),"35 ЛЬВ")</f>
        <v>35 ЛЬВ</v>
      </c>
      <c r="AC206" t="str">
        <f ca="1">IFERROR(__xludf.DUMMYFUNCTION("""COMPUTED_VALUE"""),"35000 ЗДОЛБУНОВ")</f>
        <v>35000 ЗДОЛБУНОВ</v>
      </c>
      <c r="AD206" t="str">
        <f ca="1">IFERROR(__xludf.DUMMYFUNCTION("""COMPUTED_VALUE"""),"21.06.21 08-00")</f>
        <v>21.06.21 08-00</v>
      </c>
      <c r="AE206" t="str">
        <f ca="1">IFERROR(__xludf.DUMMYFUNCTION("""COMPUTED_VALUE"""),"310 НEИCПPAВНOCТЬ КOPПУCA AВТОCЦEПКИ")</f>
        <v>310 НEИCПPAВНOCТЬ КOPПУCA AВТОCЦEПКИ</v>
      </c>
      <c r="AF206" t="str">
        <f ca="1">IFERROR(__xludf.DUMMYFUNCTION("""COMPUTED_VALUE"""),"35 ЛЬВ")</f>
        <v>35 ЛЬВ</v>
      </c>
      <c r="AG206" t="str">
        <f ca="1">IFERROR(__xludf.DUMMYFUNCTION("""COMPUTED_VALUE"""),"35000 ЗДОЛБУНОВ")</f>
        <v>35000 ЗДОЛБУНОВ</v>
      </c>
      <c r="AH206" t="str">
        <f ca="1">IFERROR(__xludf.DUMMYFUNCTION("""COMPUTED_VALUE"""),"22.06.21 17-30")</f>
        <v>22.06.21 17-30</v>
      </c>
      <c r="AI206" s="21">
        <f ca="1">IFERROR(__xludf.DUMMYFUNCTION("""COMPUTED_VALUE"""),44420.3576736111)</f>
        <v>44420.357673611099</v>
      </c>
    </row>
    <row r="207" spans="1:35" ht="13" x14ac:dyDescent="0.15">
      <c r="A207">
        <f ca="1">IFERROR(__xludf.DUMMYFUNCTION("""COMPUTED_VALUE"""),641)</f>
        <v>641</v>
      </c>
      <c r="B207" t="str">
        <f ca="1">IFERROR(__xludf.DUMMYFUNCTION("""COMPUTED_VALUE"""),"Кнауф")</f>
        <v>Кнауф</v>
      </c>
      <c r="C207" t="str">
        <f ca="1">IFERROR(__xludf.DUMMYFUNCTION("""COMPUTED_VALUE"""),"ТЕГРА")</f>
        <v>ТЕГРА</v>
      </c>
      <c r="D207">
        <f ca="1">IFERROR(__xludf.DUMMYFUNCTION("""COMPUTED_VALUE"""),24200156)</f>
        <v>24200156</v>
      </c>
      <c r="E207" t="str">
        <f ca="1">IFERROR(__xludf.DUMMYFUNCTION("""COMPUTED_VALUE"""),"20 КРЫТЫЕ")</f>
        <v>20 КРЫТЫЕ</v>
      </c>
      <c r="F207">
        <f ca="1">IFERROR(__xludf.DUMMYFUNCTION("""COMPUTED_VALUE"""),42103)</f>
        <v>42103</v>
      </c>
      <c r="G207" t="str">
        <f ca="1">IFERROR(__xludf.DUMMYFUNCTION("""COMPUTED_VALUE"""),"ВАГОНЫ ЖД СВ")</f>
        <v>ВАГОНЫ ЖД СВ</v>
      </c>
      <c r="H207">
        <f ca="1">IFERROR(__xludf.DUMMYFUNCTION("""COMPUTED_VALUE"""),0)</f>
        <v>0</v>
      </c>
      <c r="I207">
        <f ca="1">IFERROR(__xludf.DUMMYFUNCTION("""COMPUTED_VALUE"""),4149)</f>
        <v>4149</v>
      </c>
      <c r="J207" t="str">
        <f ca="1">IFERROR(__xludf.DUMMYFUNCTION("""COMPUTED_VALUE"""),"2831 (44020-300-49000) ОСНОВА - ЛИМАН")</f>
        <v>2831 (44020-300-49000) ОСНОВА - ЛИМАН</v>
      </c>
      <c r="K207">
        <f ca="1">IFERROR(__xludf.DUMMYFUNCTION("""COMPUTED_VALUE"""),49005)</f>
        <v>49005</v>
      </c>
      <c r="L207" t="str">
        <f ca="1">IFERROR(__xludf.DUMMYFUNCTION("""COMPUTED_VALUE"""),"ФОРПОСТНАЯ")</f>
        <v>ФОРПОСТНАЯ</v>
      </c>
      <c r="M207" t="str">
        <f ca="1">IFERROR(__xludf.DUMMYFUNCTION("""COMPUTED_VALUE"""),"12.08.21 08-19")</f>
        <v>12.08.21 08-19</v>
      </c>
      <c r="N207" t="str">
        <f ca="1">IFERROR(__xludf.DUMMYFUNCTION("""COMPUTED_VALUE"""),"03 ПРОС")</f>
        <v>03 ПРОС</v>
      </c>
      <c r="O207">
        <f ca="1">IFERROR(__xludf.DUMMYFUNCTION("""COMPUTED_VALUE"""),49620)</f>
        <v>49620</v>
      </c>
      <c r="P207" t="str">
        <f ca="1">IFERROR(__xludf.DUMMYFUNCTION("""COMPUTED_VALUE"""),"ДЕКОНСКАЯ")</f>
        <v>ДЕКОНСКАЯ</v>
      </c>
      <c r="Q207">
        <f ca="1">IFERROR(__xludf.DUMMYFUNCTION("""COMPUTED_VALUE"""),44050)</f>
        <v>44050</v>
      </c>
      <c r="R207" t="str">
        <f ca="1">IFERROR(__xludf.DUMMYFUNCTION("""COMPUTED_VALUE"""),"ХАРЬКОВ-БАЛ")</f>
        <v>ХАРЬКОВ-БАЛ</v>
      </c>
      <c r="S207" t="str">
        <f ca="1">IFERROR(__xludf.DUMMYFUNCTION("""COMPUTED_VALUE"""),"09.08.21 15-10")</f>
        <v>09.08.21 15-10</v>
      </c>
      <c r="T207">
        <f ca="1">IFERROR(__xludf.DUMMYFUNCTION("""COMPUTED_VALUE"""),1494)</f>
        <v>1494</v>
      </c>
      <c r="U207" t="str">
        <f ca="1">IFERROR(__xludf.DUMMYFUNCTION("""COMPUTED_VALUE"""),"30.10.2022 ДР")</f>
        <v>30.10.2022 ДР</v>
      </c>
      <c r="Z207" t="str">
        <f ca="1">IFERROR(__xludf.DUMMYFUNCTION("""COMPUTED_VALUE"""),"ООО «ТЕГРА ЛОДЖИСТИКС»")</f>
        <v>ООО «ТЕГРА ЛОДЖИСТИКС»</v>
      </c>
      <c r="AA207" t="str">
        <f ca="1">IFERROR(__xludf.DUMMYFUNCTION("""COMPUTED_VALUE"""),"11-217")</f>
        <v>11-217</v>
      </c>
      <c r="AB207" t="str">
        <f ca="1">IFERROR(__xludf.DUMMYFUNCTION("""COMPUTED_VALUE"""),"35 ЛЬВ")</f>
        <v>35 ЛЬВ</v>
      </c>
      <c r="AC207" t="str">
        <f ca="1">IFERROR(__xludf.DUMMYFUNCTION("""COMPUTED_VALUE"""),"38850 ХРЫПЛИН")</f>
        <v>38850 ХРЫПЛИН</v>
      </c>
      <c r="AD207" t="str">
        <f ca="1">IFERROR(__xludf.DUMMYFUNCTION("""COMPUTED_VALUE"""),"09.06.21 20-30")</f>
        <v>09.06.21 20-30</v>
      </c>
      <c r="AE207" t="str">
        <f ca="1">IFERROR(__xludf.DUMMYFUNCTION("""COMPUTED_VALUE"""),"537 НEИCПPAВНOCТЬ ЗAПOPA ДВEPИ")</f>
        <v>537 НEИCПPAВНOCТЬ ЗAПOPA ДВEPИ</v>
      </c>
      <c r="AF207" t="str">
        <f ca="1">IFERROR(__xludf.DUMMYFUNCTION("""COMPUTED_VALUE"""),"35 ЛЬВ")</f>
        <v>35 ЛЬВ</v>
      </c>
      <c r="AG207" t="str">
        <f ca="1">IFERROR(__xludf.DUMMYFUNCTION("""COMPUTED_VALUE"""),"38850 ХРЫПЛИН")</f>
        <v>38850 ХРЫПЛИН</v>
      </c>
      <c r="AH207" t="str">
        <f ca="1">IFERROR(__xludf.DUMMYFUNCTION("""COMPUTED_VALUE"""),"11.06.21 17-00")</f>
        <v>11.06.21 17-00</v>
      </c>
      <c r="AI207" s="21">
        <f ca="1">IFERROR(__xludf.DUMMYFUNCTION("""COMPUTED_VALUE"""),44420.3576736111)</f>
        <v>44420.357673611099</v>
      </c>
    </row>
    <row r="208" spans="1:35" ht="13" x14ac:dyDescent="0.15">
      <c r="A208">
        <f ca="1">IFERROR(__xludf.DUMMYFUNCTION("""COMPUTED_VALUE"""),642)</f>
        <v>642</v>
      </c>
      <c r="B208" t="str">
        <f ca="1">IFERROR(__xludf.DUMMYFUNCTION("""COMPUTED_VALUE"""),"Кнауф")</f>
        <v>Кнауф</v>
      </c>
      <c r="C208" t="str">
        <f ca="1">IFERROR(__xludf.DUMMYFUNCTION("""COMPUTED_VALUE"""),"ТЕГРА")</f>
        <v>ТЕГРА</v>
      </c>
      <c r="D208">
        <f ca="1">IFERROR(__xludf.DUMMYFUNCTION("""COMPUTED_VALUE"""),24374811)</f>
        <v>24374811</v>
      </c>
      <c r="E208" t="str">
        <f ca="1">IFERROR(__xludf.DUMMYFUNCTION("""COMPUTED_VALUE"""),"20 КРЫТЫЕ")</f>
        <v>20 КРЫТЫЕ</v>
      </c>
      <c r="F208">
        <f ca="1">IFERROR(__xludf.DUMMYFUNCTION("""COMPUTED_VALUE"""),23304)</f>
        <v>23304</v>
      </c>
      <c r="G208" t="str">
        <f ca="1">IFERROR(__xludf.DUMMYFUNCTION("""COMPUTED_VALUE"""),"ГИПС ПР")</f>
        <v>ГИПС ПР</v>
      </c>
      <c r="H208">
        <f ca="1">IFERROR(__xludf.DUMMYFUNCTION("""COMPUTED_VALUE"""),63)</f>
        <v>63</v>
      </c>
      <c r="I208">
        <f ca="1">IFERROR(__xludf.DUMMYFUNCTION("""COMPUTED_VALUE"""),4014)</f>
        <v>4014</v>
      </c>
      <c r="J208" t="str">
        <f ca="1">IFERROR(__xludf.DUMMYFUNCTION("""COMPUTED_VALUE"""),"2221 (32000-369-37040) ДАРНИЦА - КЛЕПАРОВ")</f>
        <v>2221 (32000-369-37040) ДАРНИЦА - КЛЕПАРОВ</v>
      </c>
      <c r="K208">
        <f ca="1">IFERROR(__xludf.DUMMYFUNCTION("""COMPUTED_VALUE"""),37050)</f>
        <v>37050</v>
      </c>
      <c r="L208" t="str">
        <f ca="1">IFERROR(__xludf.DUMMYFUNCTION("""COMPUTED_VALUE"""),"РЯСНА II")</f>
        <v>РЯСНА II</v>
      </c>
      <c r="M208" t="str">
        <f ca="1">IFERROR(__xludf.DUMMYFUNCTION("""COMPUTED_VALUE"""),"12.08.21 01-00")</f>
        <v>12.08.21 01-00</v>
      </c>
      <c r="N208" t="str">
        <f ca="1">IFERROR(__xludf.DUMMYFUNCTION("""COMPUTED_VALUE"""),"21 ВЫГ2")</f>
        <v>21 ВЫГ2</v>
      </c>
      <c r="O208">
        <f ca="1">IFERROR(__xludf.DUMMYFUNCTION("""COMPUTED_VALUE"""),37050)</f>
        <v>37050</v>
      </c>
      <c r="P208" t="str">
        <f ca="1">IFERROR(__xludf.DUMMYFUNCTION("""COMPUTED_VALUE"""),"РЯСНА II")</f>
        <v>РЯСНА II</v>
      </c>
      <c r="Q208">
        <f ca="1">IFERROR(__xludf.DUMMYFUNCTION("""COMPUTED_VALUE"""),49620)</f>
        <v>49620</v>
      </c>
      <c r="R208" t="str">
        <f ca="1">IFERROR(__xludf.DUMMYFUNCTION("""COMPUTED_VALUE"""),"ДЕКОНСКАЯ")</f>
        <v>ДЕКОНСКАЯ</v>
      </c>
      <c r="S208" t="str">
        <f ca="1">IFERROR(__xludf.DUMMYFUNCTION("""COMPUTED_VALUE"""),"04.08.21 11-30")</f>
        <v>04.08.21 11-30</v>
      </c>
      <c r="U208" t="str">
        <f ca="1">IFERROR(__xludf.DUMMYFUNCTION("""COMPUTED_VALUE"""),"19.11.2022 ДР")</f>
        <v>19.11.2022 ДР</v>
      </c>
      <c r="Z208" t="str">
        <f ca="1">IFERROR(__xludf.DUMMYFUNCTION("""COMPUTED_VALUE"""),"ООО «ТЕГРА ЛОДЖИСТИКС»")</f>
        <v>ООО «ТЕГРА ЛОДЖИСТИКС»</v>
      </c>
      <c r="AA208" t="str">
        <f ca="1">IFERROR(__xludf.DUMMYFUNCTION("""COMPUTED_VALUE"""),"11-270")</f>
        <v>11-270</v>
      </c>
      <c r="AB208" t="str">
        <f ca="1">IFERROR(__xludf.DUMMYFUNCTION("""COMPUTED_VALUE"""),"48 ДОН")</f>
        <v>48 ДОН</v>
      </c>
      <c r="AC208" t="str">
        <f ca="1">IFERROR(__xludf.DUMMYFUNCTION("""COMPUTED_VALUE"""),"49480 СОЛЬ")</f>
        <v>49480 СОЛЬ</v>
      </c>
      <c r="AD208" t="str">
        <f ca="1">IFERROR(__xludf.DUMMYFUNCTION("""COMPUTED_VALUE"""),"04.06.21 12-15")</f>
        <v>04.06.21 12-15</v>
      </c>
      <c r="AE208" t="str">
        <f ca="1">IFERROR(__xludf.DUMMYFUNCTION("""COMPUTED_VALUE"""),"563")</f>
        <v>563</v>
      </c>
      <c r="AF208" t="str">
        <f ca="1">IFERROR(__xludf.DUMMYFUNCTION("""COMPUTED_VALUE"""),"48 ДОН")</f>
        <v>48 ДОН</v>
      </c>
      <c r="AG208" t="str">
        <f ca="1">IFERROR(__xludf.DUMMYFUNCTION("""COMPUTED_VALUE"""),"49480 СОЛЬ")</f>
        <v>49480 СОЛЬ</v>
      </c>
      <c r="AH208" t="str">
        <f ca="1">IFERROR(__xludf.DUMMYFUNCTION("""COMPUTED_VALUE"""),"08.06.21 16-30")</f>
        <v>08.06.21 16-30</v>
      </c>
      <c r="AI208" s="21">
        <f ca="1">IFERROR(__xludf.DUMMYFUNCTION("""COMPUTED_VALUE"""),44420.3576736111)</f>
        <v>44420.357673611099</v>
      </c>
    </row>
    <row r="209" spans="1:35" ht="13" x14ac:dyDescent="0.15">
      <c r="A209">
        <f ca="1">IFERROR(__xludf.DUMMYFUNCTION("""COMPUTED_VALUE"""),445)</f>
        <v>445</v>
      </c>
      <c r="B209" t="str">
        <f ca="1">IFERROR(__xludf.DUMMYFUNCTION("""COMPUTED_VALUE"""),"Кнауф")</f>
        <v>Кнауф</v>
      </c>
      <c r="C209" t="str">
        <f ca="1">IFERROR(__xludf.DUMMYFUNCTION("""COMPUTED_VALUE"""),"Антранс")</f>
        <v>Антранс</v>
      </c>
      <c r="D209">
        <f ca="1">IFERROR(__xludf.DUMMYFUNCTION("""COMPUTED_VALUE"""),24478471)</f>
        <v>24478471</v>
      </c>
      <c r="E209" t="str">
        <f ca="1">IFERROR(__xludf.DUMMYFUNCTION("""COMPUTED_VALUE"""),"20 КРЫТЫЕ")</f>
        <v>20 КРЫТЫЕ</v>
      </c>
      <c r="F209">
        <f ca="1">IFERROR(__xludf.DUMMYFUNCTION("""COMPUTED_VALUE"""),28114)</f>
        <v>28114</v>
      </c>
      <c r="G209" t="str">
        <f ca="1">IFERROR(__xludf.DUMMYFUNCTION("""COMPUTED_VALUE"""),"ЦЕМЕНТ ПР")</f>
        <v>ЦЕМЕНТ ПР</v>
      </c>
      <c r="H209">
        <f ca="1">IFERROR(__xludf.DUMMYFUNCTION("""COMPUTED_VALUE"""),68)</f>
        <v>68</v>
      </c>
      <c r="I209">
        <f ca="1">IFERROR(__xludf.DUMMYFUNCTION("""COMPUTED_VALUE"""),1494)</f>
        <v>1494</v>
      </c>
      <c r="J209" t="str">
        <f ca="1">IFERROR(__xludf.DUMMYFUNCTION("""COMPUTED_VALUE"""),"2325 (38840-160-37000) ИВАНО-ФРАНК - ЛЬВОВ")</f>
        <v>2325 (38840-160-37000) ИВАНО-ФРАНК - ЛЬВОВ</v>
      </c>
      <c r="K209">
        <f ca="1">IFERROR(__xludf.DUMMYFUNCTION("""COMPUTED_VALUE"""),37910)</f>
        <v>37910</v>
      </c>
      <c r="L209" t="str">
        <f ca="1">IFERROR(__xludf.DUMMYFUNCTION("""COMPUTED_VALUE"""),"ХОДОРОВ")</f>
        <v>ХОДОРОВ</v>
      </c>
      <c r="M209" t="str">
        <f ca="1">IFERROR(__xludf.DUMMYFUNCTION("""COMPUTED_VALUE"""),"12.08.21 02-21")</f>
        <v>12.08.21 02-21</v>
      </c>
      <c r="N209" t="str">
        <f ca="1">IFERROR(__xludf.DUMMYFUNCTION("""COMPUTED_VALUE"""),"31 ПРИБ")</f>
        <v>31 ПРИБ</v>
      </c>
      <c r="O209">
        <f ca="1">IFERROR(__xludf.DUMMYFUNCTION("""COMPUTED_VALUE"""),44050)</f>
        <v>44050</v>
      </c>
      <c r="P209" t="str">
        <f ca="1">IFERROR(__xludf.DUMMYFUNCTION("""COMPUTED_VALUE"""),"ХАРЬКОВ-БАЛ")</f>
        <v>ХАРЬКОВ-БАЛ</v>
      </c>
      <c r="Q209">
        <f ca="1">IFERROR(__xludf.DUMMYFUNCTION("""COMPUTED_VALUE"""),38830)</f>
        <v>38830</v>
      </c>
      <c r="R209" t="str">
        <f ca="1">IFERROR(__xludf.DUMMYFUNCTION("""COMPUTED_VALUE"""),"ЯМНИЦА")</f>
        <v>ЯМНИЦА</v>
      </c>
      <c r="S209" t="str">
        <f ca="1">IFERROR(__xludf.DUMMYFUNCTION("""COMPUTED_VALUE"""),"07.08.21 10-25")</f>
        <v>07.08.21 10-25</v>
      </c>
      <c r="T209">
        <f ca="1">IFERROR(__xludf.DUMMYFUNCTION("""COMPUTED_VALUE"""),8199)</f>
        <v>8199</v>
      </c>
      <c r="U209" t="str">
        <f ca="1">IFERROR(__xludf.DUMMYFUNCTION("""COMPUTED_VALUE"""),"06.11.2022 ДР")</f>
        <v>06.11.2022 ДР</v>
      </c>
      <c r="AA209" t="str">
        <f ca="1">IFERROR(__xludf.DUMMYFUNCTION("""COMPUTED_VALUE"""),"11-270")</f>
        <v>11-270</v>
      </c>
      <c r="AB209" t="str">
        <f ca="1">IFERROR(__xludf.DUMMYFUNCTION("""COMPUTED_VALUE"""),"48 ДОН")</f>
        <v>48 ДОН</v>
      </c>
      <c r="AC209" t="str">
        <f ca="1">IFERROR(__xludf.DUMMYFUNCTION("""COMPUTED_VALUE"""),"49620 ДЕКОНСКАЯ")</f>
        <v>49620 ДЕКОНСКАЯ</v>
      </c>
      <c r="AD209" t="str">
        <f ca="1">IFERROR(__xludf.DUMMYFUNCTION("""COMPUTED_VALUE"""),"09.11.19 23-30")</f>
        <v>09.11.19 23-30</v>
      </c>
      <c r="AE209" t="str">
        <f ca="1">IFERROR(__xludf.DUMMYFUNCTION("""COMPUTED_VALUE"""),"910 OТCУТCТВИE ПАСПОРТА ФOPМЫ ВУ-4М")</f>
        <v>910 OТCУТCТВИE ПАСПОРТА ФOPМЫ ВУ-4М</v>
      </c>
      <c r="AF209" t="str">
        <f ca="1">IFERROR(__xludf.DUMMYFUNCTION("""COMPUTED_VALUE"""),"48 ДОН")</f>
        <v>48 ДОН</v>
      </c>
      <c r="AG209" t="str">
        <f ca="1">IFERROR(__xludf.DUMMYFUNCTION("""COMPUTED_VALUE"""),"49620 ДЕКОНСКАЯ")</f>
        <v>49620 ДЕКОНСКАЯ</v>
      </c>
      <c r="AH209" t="str">
        <f ca="1">IFERROR(__xludf.DUMMYFUNCTION("""COMPUTED_VALUE"""),"12.11.19 12-03")</f>
        <v>12.11.19 12-03</v>
      </c>
      <c r="AI209" s="21">
        <f ca="1">IFERROR(__xludf.DUMMYFUNCTION("""COMPUTED_VALUE"""),44420.3576736111)</f>
        <v>44420.357673611099</v>
      </c>
    </row>
    <row r="210" spans="1:35" ht="13" x14ac:dyDescent="0.15">
      <c r="A210">
        <f ca="1">IFERROR(__xludf.DUMMYFUNCTION("""COMPUTED_VALUE"""),814)</f>
        <v>814</v>
      </c>
      <c r="B210" t="str">
        <f ca="1">IFERROR(__xludf.DUMMYFUNCTION("""COMPUTED_VALUE"""),"Кнауф")</f>
        <v>Кнауф</v>
      </c>
      <c r="C210" t="str">
        <f ca="1">IFERROR(__xludf.DUMMYFUNCTION("""COMPUTED_VALUE"""),"ФМС")</f>
        <v>ФМС</v>
      </c>
      <c r="D210">
        <f ca="1">IFERROR(__xludf.DUMMYFUNCTION("""COMPUTED_VALUE"""),52457108)</f>
        <v>52457108</v>
      </c>
      <c r="E210" t="str">
        <f ca="1">IFERROR(__xludf.DUMMYFUNCTION("""COMPUTED_VALUE"""),"20 КРЫТЫЕ")</f>
        <v>20 КРЫТЫЕ</v>
      </c>
      <c r="F210">
        <f ca="1">IFERROR(__xludf.DUMMYFUNCTION("""COMPUTED_VALUE"""),42103)</f>
        <v>42103</v>
      </c>
      <c r="G210" t="str">
        <f ca="1">IFERROR(__xludf.DUMMYFUNCTION("""COMPUTED_VALUE"""),"ВАГОНЫ ЖД СВ")</f>
        <v>ВАГОНЫ ЖД СВ</v>
      </c>
      <c r="H210">
        <f ca="1">IFERROR(__xludf.DUMMYFUNCTION("""COMPUTED_VALUE"""),0)</f>
        <v>0</v>
      </c>
      <c r="I210">
        <f ca="1">IFERROR(__xludf.DUMMYFUNCTION("""COMPUTED_VALUE"""),4149)</f>
        <v>4149</v>
      </c>
      <c r="J210" t="str">
        <f ca="1">IFERROR(__xludf.DUMMYFUNCTION("""COMPUTED_VALUE"""),"3802 (49640-064-49620)  - ДЕКОНСКАЯ")</f>
        <v>3802 (49640-064-49620)  - ДЕКОНСКАЯ</v>
      </c>
      <c r="K210">
        <f ca="1">IFERROR(__xludf.DUMMYFUNCTION("""COMPUTED_VALUE"""),49620)</f>
        <v>49620</v>
      </c>
      <c r="L210" t="str">
        <f ca="1">IFERROR(__xludf.DUMMYFUNCTION("""COMPUTED_VALUE"""),"ДЕКОНСКАЯ")</f>
        <v>ДЕКОНСКАЯ</v>
      </c>
      <c r="M210" t="str">
        <f ca="1">IFERROR(__xludf.DUMMYFUNCTION("""COMPUTED_VALUE"""),"08.08.21 11-00")</f>
        <v>08.08.21 11-00</v>
      </c>
      <c r="N210" t="str">
        <f ca="1">IFERROR(__xludf.DUMMYFUNCTION("""COMPUTED_VALUE"""),"98 ОТОТ")</f>
        <v>98 ОТОТ</v>
      </c>
      <c r="O210">
        <f ca="1">IFERROR(__xludf.DUMMYFUNCTION("""COMPUTED_VALUE"""),49620)</f>
        <v>49620</v>
      </c>
      <c r="P210" t="str">
        <f ca="1">IFERROR(__xludf.DUMMYFUNCTION("""COMPUTED_VALUE"""),"ДЕКОНСКАЯ")</f>
        <v>ДЕКОНСКАЯ</v>
      </c>
      <c r="Q210">
        <f ca="1">IFERROR(__xludf.DUMMYFUNCTION("""COMPUTED_VALUE"""),44050)</f>
        <v>44050</v>
      </c>
      <c r="R210" t="str">
        <f ca="1">IFERROR(__xludf.DUMMYFUNCTION("""COMPUTED_VALUE"""),"ХАРЬКОВ-БАЛ")</f>
        <v>ХАРЬКОВ-БАЛ</v>
      </c>
      <c r="S210" t="str">
        <f ca="1">IFERROR(__xludf.DUMMYFUNCTION("""COMPUTED_VALUE"""),"04.08.21 14-00")</f>
        <v>04.08.21 14-00</v>
      </c>
      <c r="T210">
        <f ca="1">IFERROR(__xludf.DUMMYFUNCTION("""COMPUTED_VALUE"""),1494)</f>
        <v>1494</v>
      </c>
      <c r="U210" t="str">
        <f ca="1">IFERROR(__xludf.DUMMYFUNCTION("""COMPUTED_VALUE"""),"12.06.2023 ДР")</f>
        <v>12.06.2023 ДР</v>
      </c>
      <c r="Z210" t="str">
        <f ca="1">IFERROR(__xludf.DUMMYFUNCTION("""COMPUTED_VALUE"""),"ООО ""Ф.М.С. групп""")</f>
        <v>ООО "Ф.М.С. групп"</v>
      </c>
      <c r="AA210" t="str">
        <f ca="1">IFERROR(__xludf.DUMMYFUNCTION("""COMPUTED_VALUE"""),"11-270")</f>
        <v>11-270</v>
      </c>
      <c r="AB210" t="str">
        <f ca="1">IFERROR(__xludf.DUMMYFUNCTION("""COMPUTED_VALUE"""),"40 ОД")</f>
        <v>40 ОД</v>
      </c>
      <c r="AC210" t="str">
        <f ca="1">IFERROR(__xludf.DUMMYFUNCTION("""COMPUTED_VALUE"""),"41780 ХЕРСОН")</f>
        <v>41780 ХЕРСОН</v>
      </c>
      <c r="AD210" t="str">
        <f ca="1">IFERROR(__xludf.DUMMYFUNCTION("""COMPUTED_VALUE"""),"30.11.20 11-50")</f>
        <v>30.11.20 11-50</v>
      </c>
      <c r="AE210" t="str">
        <f ca="1">IFERROR(__xludf.DUMMYFUNCTION("""COMPUTED_VALUE"""),"537 НEИCПPAВНOCТЬ ЗAПOPA ДВEPИ")</f>
        <v>537 НEИCПPAВНOCТЬ ЗAПOPA ДВEPИ</v>
      </c>
      <c r="AF210" t="str">
        <f ca="1">IFERROR(__xludf.DUMMYFUNCTION("""COMPUTED_VALUE"""),"40 ОД")</f>
        <v>40 ОД</v>
      </c>
      <c r="AG210" t="str">
        <f ca="1">IFERROR(__xludf.DUMMYFUNCTION("""COMPUTED_VALUE"""),"41780 ХЕРСОН")</f>
        <v>41780 ХЕРСОН</v>
      </c>
      <c r="AH210" t="str">
        <f ca="1">IFERROR(__xludf.DUMMYFUNCTION("""COMPUTED_VALUE"""),"06.12.20 15-30")</f>
        <v>06.12.20 15-30</v>
      </c>
      <c r="AI210" s="21">
        <f ca="1">IFERROR(__xludf.DUMMYFUNCTION("""COMPUTED_VALUE"""),44420.3576736111)</f>
        <v>44420.357673611099</v>
      </c>
    </row>
    <row r="211" spans="1:35" ht="13" x14ac:dyDescent="0.15">
      <c r="A211">
        <f ca="1">IFERROR(__xludf.DUMMYFUNCTION("""COMPUTED_VALUE"""),816)</f>
        <v>816</v>
      </c>
      <c r="B211" t="str">
        <f ca="1">IFERROR(__xludf.DUMMYFUNCTION("""COMPUTED_VALUE"""),"Кнауф")</f>
        <v>Кнауф</v>
      </c>
      <c r="C211" t="str">
        <f ca="1">IFERROR(__xludf.DUMMYFUNCTION("""COMPUTED_VALUE"""),"ТЕГРА")</f>
        <v>ТЕГРА</v>
      </c>
      <c r="D211">
        <f ca="1">IFERROR(__xludf.DUMMYFUNCTION("""COMPUTED_VALUE"""),24200651)</f>
        <v>24200651</v>
      </c>
      <c r="E211" t="str">
        <f ca="1">IFERROR(__xludf.DUMMYFUNCTION("""COMPUTED_VALUE"""),"20 КРЫТЫЕ")</f>
        <v>20 КРЫТЫЕ</v>
      </c>
      <c r="F211">
        <f ca="1">IFERROR(__xludf.DUMMYFUNCTION("""COMPUTED_VALUE"""),42103)</f>
        <v>42103</v>
      </c>
      <c r="G211" t="str">
        <f ca="1">IFERROR(__xludf.DUMMYFUNCTION("""COMPUTED_VALUE"""),"ВАГОНЫ ЖД СВ")</f>
        <v>ВАГОНЫ ЖД СВ</v>
      </c>
      <c r="H211">
        <f ca="1">IFERROR(__xludf.DUMMYFUNCTION("""COMPUTED_VALUE"""),0)</f>
        <v>0</v>
      </c>
      <c r="I211">
        <f ca="1">IFERROR(__xludf.DUMMYFUNCTION("""COMPUTED_VALUE"""),8199)</f>
        <v>8199</v>
      </c>
      <c r="J211" t="str">
        <f ca="1">IFERROR(__xludf.DUMMYFUNCTION("""COMPUTED_VALUE"""),"5555 (32000-600-00080) ДАРНИЦА -")</f>
        <v>5555 (32000-600-00080) ДАРНИЦА -</v>
      </c>
      <c r="K211">
        <f ca="1">IFERROR(__xludf.DUMMYFUNCTION("""COMPUTED_VALUE"""),32000)</f>
        <v>32000</v>
      </c>
      <c r="L211" t="str">
        <f ca="1">IFERROR(__xludf.DUMMYFUNCTION("""COMPUTED_VALUE"""),"ДАРНИЦА")</f>
        <v>ДАРНИЦА</v>
      </c>
      <c r="M211" t="str">
        <f ca="1">IFERROR(__xludf.DUMMYFUNCTION("""COMPUTED_VALUE"""),"12.08.21 03-37")</f>
        <v>12.08.21 03-37</v>
      </c>
      <c r="N211" t="str">
        <f ca="1">IFERROR(__xludf.DUMMYFUNCTION("""COMPUTED_VALUE"""),"05 ФОРМ")</f>
        <v>05 ФОРМ</v>
      </c>
      <c r="O211">
        <f ca="1">IFERROR(__xludf.DUMMYFUNCTION("""COMPUTED_VALUE"""),38830)</f>
        <v>38830</v>
      </c>
      <c r="P211" t="str">
        <f ca="1">IFERROR(__xludf.DUMMYFUNCTION("""COMPUTED_VALUE"""),"ЯМНИЦА")</f>
        <v>ЯМНИЦА</v>
      </c>
      <c r="Q211">
        <f ca="1">IFERROR(__xludf.DUMMYFUNCTION("""COMPUTED_VALUE"""),32040)</f>
        <v>32040</v>
      </c>
      <c r="R211" t="str">
        <f ca="1">IFERROR(__xludf.DUMMYFUNCTION("""COMPUTED_VALUE"""),"ГРУШКИ")</f>
        <v>ГРУШКИ</v>
      </c>
      <c r="S211" t="str">
        <f ca="1">IFERROR(__xludf.DUMMYFUNCTION("""COMPUTED_VALUE"""),"03.08.21 16-25")</f>
        <v>03.08.21 16-25</v>
      </c>
      <c r="T211">
        <f ca="1">IFERROR(__xludf.DUMMYFUNCTION("""COMPUTED_VALUE"""),8200)</f>
        <v>8200</v>
      </c>
      <c r="U211" t="str">
        <f ca="1">IFERROR(__xludf.DUMMYFUNCTION("""COMPUTED_VALUE"""),"31.01.2023 ДР")</f>
        <v>31.01.2023 ДР</v>
      </c>
      <c r="Z211" t="str">
        <f ca="1">IFERROR(__xludf.DUMMYFUNCTION("""COMPUTED_VALUE"""),"ООО «ТЕГРА ЛОДЖИСТИКС»")</f>
        <v>ООО «ТЕГРА ЛОДЖИСТИКС»</v>
      </c>
      <c r="AA211" t="str">
        <f ca="1">IFERROR(__xludf.DUMMYFUNCTION("""COMPUTED_VALUE"""),"11-217")</f>
        <v>11-217</v>
      </c>
      <c r="AB211" t="str">
        <f ca="1">IFERROR(__xludf.DUMMYFUNCTION("""COMPUTED_VALUE"""),"40 ОД")</f>
        <v>40 ОД</v>
      </c>
      <c r="AC211" t="str">
        <f ca="1">IFERROR(__xludf.DUMMYFUNCTION("""COMPUTED_VALUE"""),"41780 ХЕРСОН")</f>
        <v>41780 ХЕРСОН</v>
      </c>
      <c r="AD211" t="str">
        <f ca="1">IFERROR(__xludf.DUMMYFUNCTION("""COMPUTED_VALUE"""),"13.05.21 03-10")</f>
        <v>13.05.21 03-10</v>
      </c>
      <c r="AE211" t="str">
        <f ca="1">IFERROR(__xludf.DUMMYFUNCTION("""COMPUTED_VALUE"""),"563")</f>
        <v>563</v>
      </c>
      <c r="AF211" t="str">
        <f ca="1">IFERROR(__xludf.DUMMYFUNCTION("""COMPUTED_VALUE"""),"40 ОД")</f>
        <v>40 ОД</v>
      </c>
      <c r="AG211" t="str">
        <f ca="1">IFERROR(__xludf.DUMMYFUNCTION("""COMPUTED_VALUE"""),"41780 ХЕРСОН")</f>
        <v>41780 ХЕРСОН</v>
      </c>
      <c r="AH211" t="str">
        <f ca="1">IFERROR(__xludf.DUMMYFUNCTION("""COMPUTED_VALUE"""),"15.05.21 15-40")</f>
        <v>15.05.21 15-40</v>
      </c>
      <c r="AI211" s="21">
        <f ca="1">IFERROR(__xludf.DUMMYFUNCTION("""COMPUTED_VALUE"""),44420.3576736111)</f>
        <v>44420.357673611099</v>
      </c>
    </row>
    <row r="212" spans="1:35" ht="13" x14ac:dyDescent="0.15">
      <c r="A212">
        <f ca="1">IFERROR(__xludf.DUMMYFUNCTION("""COMPUTED_VALUE"""),817)</f>
        <v>817</v>
      </c>
      <c r="B212" t="str">
        <f ca="1">IFERROR(__xludf.DUMMYFUNCTION("""COMPUTED_VALUE"""),"Кнауф")</f>
        <v>Кнауф</v>
      </c>
      <c r="C212" t="str">
        <f ca="1">IFERROR(__xludf.DUMMYFUNCTION("""COMPUTED_VALUE"""),"ТЕГРА")</f>
        <v>ТЕГРА</v>
      </c>
      <c r="D212">
        <f ca="1">IFERROR(__xludf.DUMMYFUNCTION("""COMPUTED_VALUE"""),24200875)</f>
        <v>24200875</v>
      </c>
      <c r="E212" t="str">
        <f ca="1">IFERROR(__xludf.DUMMYFUNCTION("""COMPUTED_VALUE"""),"20 КРЫТЫЕ")</f>
        <v>20 КРЫТЫЕ</v>
      </c>
      <c r="F212">
        <f ca="1">IFERROR(__xludf.DUMMYFUNCTION("""COMPUTED_VALUE"""),28114)</f>
        <v>28114</v>
      </c>
      <c r="G212" t="str">
        <f ca="1">IFERROR(__xludf.DUMMYFUNCTION("""COMPUTED_VALUE"""),"ЦЕМЕНТ ПР")</f>
        <v>ЦЕМЕНТ ПР</v>
      </c>
      <c r="H212">
        <f ca="1">IFERROR(__xludf.DUMMYFUNCTION("""COMPUTED_VALUE"""),68)</f>
        <v>68</v>
      </c>
      <c r="I212">
        <f ca="1">IFERROR(__xludf.DUMMYFUNCTION("""COMPUTED_VALUE"""),1494)</f>
        <v>1494</v>
      </c>
      <c r="J212" t="str">
        <f ca="1">IFERROR(__xludf.DUMMYFUNCTION("""COMPUTED_VALUE"""),"5555 (42500-414-00070) КРЕМЕНЧУГ -")</f>
        <v>5555 (42500-414-00070) КРЕМЕНЧУГ -</v>
      </c>
      <c r="K212">
        <f ca="1">IFERROR(__xludf.DUMMYFUNCTION("""COMPUTED_VALUE"""),42500)</f>
        <v>42500</v>
      </c>
      <c r="L212" t="str">
        <f ca="1">IFERROR(__xludf.DUMMYFUNCTION("""COMPUTED_VALUE"""),"КРЕМЕНЧУГ")</f>
        <v>КРЕМЕНЧУГ</v>
      </c>
      <c r="M212" t="str">
        <f ca="1">IFERROR(__xludf.DUMMYFUNCTION("""COMPUTED_VALUE"""),"12.08.21 03-32")</f>
        <v>12.08.21 03-32</v>
      </c>
      <c r="N212" t="str">
        <f ca="1">IFERROR(__xludf.DUMMYFUNCTION("""COMPUTED_VALUE"""),"05 ФОРМ")</f>
        <v>05 ФОРМ</v>
      </c>
      <c r="O212">
        <f ca="1">IFERROR(__xludf.DUMMYFUNCTION("""COMPUTED_VALUE"""),44050)</f>
        <v>44050</v>
      </c>
      <c r="P212" t="str">
        <f ca="1">IFERROR(__xludf.DUMMYFUNCTION("""COMPUTED_VALUE"""),"ХАРЬКОВ-БАЛ")</f>
        <v>ХАРЬКОВ-БАЛ</v>
      </c>
      <c r="Q212">
        <f ca="1">IFERROR(__xludf.DUMMYFUNCTION("""COMPUTED_VALUE"""),38830)</f>
        <v>38830</v>
      </c>
      <c r="R212" t="str">
        <f ca="1">IFERROR(__xludf.DUMMYFUNCTION("""COMPUTED_VALUE"""),"ЯМНИЦА")</f>
        <v>ЯМНИЦА</v>
      </c>
      <c r="S212" t="str">
        <f ca="1">IFERROR(__xludf.DUMMYFUNCTION("""COMPUTED_VALUE"""),"07.08.21 20-15")</f>
        <v>07.08.21 20-15</v>
      </c>
      <c r="T212">
        <f ca="1">IFERROR(__xludf.DUMMYFUNCTION("""COMPUTED_VALUE"""),8199)</f>
        <v>8199</v>
      </c>
      <c r="U212" t="str">
        <f ca="1">IFERROR(__xludf.DUMMYFUNCTION("""COMPUTED_VALUE"""),"31.01.2023 ДР")</f>
        <v>31.01.2023 ДР</v>
      </c>
      <c r="Z212" t="str">
        <f ca="1">IFERROR(__xludf.DUMMYFUNCTION("""COMPUTED_VALUE"""),"ООО «ТЕГРА ЛОДЖИСТИКС»")</f>
        <v>ООО «ТЕГРА ЛОДЖИСТИКС»</v>
      </c>
      <c r="AA212" t="str">
        <f ca="1">IFERROR(__xludf.DUMMYFUNCTION("""COMPUTED_VALUE"""),"11-217")</f>
        <v>11-217</v>
      </c>
      <c r="AB212" t="str">
        <f ca="1">IFERROR(__xludf.DUMMYFUNCTION("""COMPUTED_VALUE"""),"35 ЛЬВ")</f>
        <v>35 ЛЬВ</v>
      </c>
      <c r="AC212" t="str">
        <f ca="1">IFERROR(__xludf.DUMMYFUNCTION("""COMPUTED_VALUE"""),"35000 ЗДОЛБУНОВ")</f>
        <v>35000 ЗДОЛБУНОВ</v>
      </c>
      <c r="AD212" t="str">
        <f ca="1">IFERROR(__xludf.DUMMYFUNCTION("""COMPUTED_VALUE"""),"12.03.21 18-40")</f>
        <v>12.03.21 18-40</v>
      </c>
      <c r="AE212" t="str">
        <f ca="1">IFERROR(__xludf.DUMMYFUNCTION("""COMPUTED_VALUE"""),"503 OБPЫВ CВAPНOГO ШВA CТOЙКИ")</f>
        <v>503 OБPЫВ CВAPНOГO ШВA CТOЙКИ</v>
      </c>
      <c r="AF212" t="str">
        <f ca="1">IFERROR(__xludf.DUMMYFUNCTION("""COMPUTED_VALUE"""),"35 ЛЬВ")</f>
        <v>35 ЛЬВ</v>
      </c>
      <c r="AG212" t="str">
        <f ca="1">IFERROR(__xludf.DUMMYFUNCTION("""COMPUTED_VALUE"""),"35000 ЗДОЛБУНОВ")</f>
        <v>35000 ЗДОЛБУНОВ</v>
      </c>
      <c r="AH212" t="str">
        <f ca="1">IFERROR(__xludf.DUMMYFUNCTION("""COMPUTED_VALUE"""),"05.04.21 17-30")</f>
        <v>05.04.21 17-30</v>
      </c>
      <c r="AI212" s="21">
        <f ca="1">IFERROR(__xludf.DUMMYFUNCTION("""COMPUTED_VALUE"""),44420.3576736111)</f>
        <v>44420.357673611099</v>
      </c>
    </row>
    <row r="213" spans="1:35" ht="13" x14ac:dyDescent="0.15">
      <c r="A213">
        <f ca="1">IFERROR(__xludf.DUMMYFUNCTION("""COMPUTED_VALUE"""),818)</f>
        <v>818</v>
      </c>
      <c r="B213" t="str">
        <f ca="1">IFERROR(__xludf.DUMMYFUNCTION("""COMPUTED_VALUE"""),"Кнауф")</f>
        <v>Кнауф</v>
      </c>
      <c r="C213" t="str">
        <f ca="1">IFERROR(__xludf.DUMMYFUNCTION("""COMPUTED_VALUE"""),"ТЕГРА")</f>
        <v>ТЕГРА</v>
      </c>
      <c r="D213">
        <f ca="1">IFERROR(__xludf.DUMMYFUNCTION("""COMPUTED_VALUE"""),24201584)</f>
        <v>24201584</v>
      </c>
      <c r="E213" t="str">
        <f ca="1">IFERROR(__xludf.DUMMYFUNCTION("""COMPUTED_VALUE"""),"20 КРЫТЫЕ")</f>
        <v>20 КРЫТЫЕ</v>
      </c>
      <c r="F213">
        <f ca="1">IFERROR(__xludf.DUMMYFUNCTION("""COMPUTED_VALUE"""),23304)</f>
        <v>23304</v>
      </c>
      <c r="G213" t="str">
        <f ca="1">IFERROR(__xludf.DUMMYFUNCTION("""COMPUTED_VALUE"""),"ГИПС ПР")</f>
        <v>ГИПС ПР</v>
      </c>
      <c r="H213">
        <f ca="1">IFERROR(__xludf.DUMMYFUNCTION("""COMPUTED_VALUE"""),64)</f>
        <v>64</v>
      </c>
      <c r="I213">
        <f ca="1">IFERROR(__xludf.DUMMYFUNCTION("""COMPUTED_VALUE"""),3314)</f>
        <v>3314</v>
      </c>
      <c r="J213" t="str">
        <f ca="1">IFERROR(__xludf.DUMMYFUNCTION("""COMPUTED_VALUE"""),"2223 (44020-103-37040) ОСНОВА - КЛЕПАРОВ")</f>
        <v>2223 (44020-103-37040) ОСНОВА - КЛЕПАРОВ</v>
      </c>
      <c r="K213">
        <f ca="1">IFERROR(__xludf.DUMMYFUNCTION("""COMPUTED_VALUE"""),37040)</f>
        <v>37040</v>
      </c>
      <c r="L213" t="str">
        <f ca="1">IFERROR(__xludf.DUMMYFUNCTION("""COMPUTED_VALUE"""),"КЛЕПАРОВ")</f>
        <v>КЛЕПАРОВ</v>
      </c>
      <c r="M213" t="str">
        <f ca="1">IFERROR(__xludf.DUMMYFUNCTION("""COMPUTED_VALUE"""),"12.08.21 06-19")</f>
        <v>12.08.21 06-19</v>
      </c>
      <c r="N213" t="str">
        <f ca="1">IFERROR(__xludf.DUMMYFUNCTION("""COMPUTED_VALUE"""),"04 РАСФ")</f>
        <v>04 РАСФ</v>
      </c>
      <c r="O213">
        <f ca="1">IFERROR(__xludf.DUMMYFUNCTION("""COMPUTED_VALUE"""),38840)</f>
        <v>38840</v>
      </c>
      <c r="P213" t="str">
        <f ca="1">IFERROR(__xludf.DUMMYFUNCTION("""COMPUTED_VALUE"""),"ИВАНО-ФРАНК")</f>
        <v>ИВАНО-ФРАНК</v>
      </c>
      <c r="Q213">
        <f ca="1">IFERROR(__xludf.DUMMYFUNCTION("""COMPUTED_VALUE"""),49620)</f>
        <v>49620</v>
      </c>
      <c r="R213" t="str">
        <f ca="1">IFERROR(__xludf.DUMMYFUNCTION("""COMPUTED_VALUE"""),"ДЕКОНСКАЯ")</f>
        <v>ДЕКОНСКАЯ</v>
      </c>
      <c r="S213" t="str">
        <f ca="1">IFERROR(__xludf.DUMMYFUNCTION("""COMPUTED_VALUE"""),"06.08.21 09-00")</f>
        <v>06.08.21 09-00</v>
      </c>
      <c r="T213">
        <f ca="1">IFERROR(__xludf.DUMMYFUNCTION("""COMPUTED_VALUE"""),4149)</f>
        <v>4149</v>
      </c>
      <c r="U213" t="str">
        <f ca="1">IFERROR(__xludf.DUMMYFUNCTION("""COMPUTED_VALUE"""),"31.01.2023 ДР")</f>
        <v>31.01.2023 ДР</v>
      </c>
      <c r="Z213" t="str">
        <f ca="1">IFERROR(__xludf.DUMMYFUNCTION("""COMPUTED_VALUE"""),"ООО «ТЕГРА ЛОДЖИСТИКС»")</f>
        <v>ООО «ТЕГРА ЛОДЖИСТИКС»</v>
      </c>
      <c r="AA213" t="str">
        <f ca="1">IFERROR(__xludf.DUMMYFUNCTION("""COMPUTED_VALUE"""),"11-217")</f>
        <v>11-217</v>
      </c>
      <c r="AB213" t="str">
        <f ca="1">IFERROR(__xludf.DUMMYFUNCTION("""COMPUTED_VALUE"""),"32 Ю-ЗАП")</f>
        <v>32 Ю-ЗАП</v>
      </c>
      <c r="AC213" t="str">
        <f ca="1">IFERROR(__xludf.DUMMYFUNCTION("""COMPUTED_VALUE"""),"34350 ФАСТОВ I")</f>
        <v>34350 ФАСТОВ I</v>
      </c>
      <c r="AD213" t="str">
        <f ca="1">IFERROR(__xludf.DUMMYFUNCTION("""COMPUTED_VALUE"""),"06.04.21 21-00")</f>
        <v>06.04.21 21-00</v>
      </c>
      <c r="AE213" t="str">
        <f ca="1">IFERROR(__xludf.DUMMYFUNCTION("""COMPUTED_VALUE"""),"537 НEИCПPAВНOCТЬ ЗAПOPA ДВEPИ")</f>
        <v>537 НEИCПPAВНOCТЬ ЗAПOPA ДВEPИ</v>
      </c>
      <c r="AF213" t="str">
        <f ca="1">IFERROR(__xludf.DUMMYFUNCTION("""COMPUTED_VALUE"""),"32 Ю-ЗАП")</f>
        <v>32 Ю-ЗАП</v>
      </c>
      <c r="AG213" t="str">
        <f ca="1">IFERROR(__xludf.DUMMYFUNCTION("""COMPUTED_VALUE"""),"34350 ФАСТОВ I")</f>
        <v>34350 ФАСТОВ I</v>
      </c>
      <c r="AH213" t="str">
        <f ca="1">IFERROR(__xludf.DUMMYFUNCTION("""COMPUTED_VALUE"""),"09.04.21 09-00")</f>
        <v>09.04.21 09-00</v>
      </c>
      <c r="AI213" s="21">
        <f ca="1">IFERROR(__xludf.DUMMYFUNCTION("""COMPUTED_VALUE"""),44420.3576736111)</f>
        <v>44420.357673611099</v>
      </c>
    </row>
    <row r="214" spans="1:35" ht="13" x14ac:dyDescent="0.15">
      <c r="A214">
        <f ca="1">IFERROR(__xludf.DUMMYFUNCTION("""COMPUTED_VALUE"""),819)</f>
        <v>819</v>
      </c>
      <c r="B214" t="str">
        <f ca="1">IFERROR(__xludf.DUMMYFUNCTION("""COMPUTED_VALUE"""),"Кнауф")</f>
        <v>Кнауф</v>
      </c>
      <c r="C214" t="str">
        <f ca="1">IFERROR(__xludf.DUMMYFUNCTION("""COMPUTED_VALUE"""),"ТЕГРА")</f>
        <v>ТЕГРА</v>
      </c>
      <c r="D214">
        <f ca="1">IFERROR(__xludf.DUMMYFUNCTION("""COMPUTED_VALUE"""),24374316)</f>
        <v>24374316</v>
      </c>
      <c r="E214" t="str">
        <f ca="1">IFERROR(__xludf.DUMMYFUNCTION("""COMPUTED_VALUE"""),"20 КРЫТЫЕ")</f>
        <v>20 КРЫТЫЕ</v>
      </c>
      <c r="F214">
        <f ca="1">IFERROR(__xludf.DUMMYFUNCTION("""COMPUTED_VALUE"""),42103)</f>
        <v>42103</v>
      </c>
      <c r="G214" t="str">
        <f ca="1">IFERROR(__xludf.DUMMYFUNCTION("""COMPUTED_VALUE"""),"ВАГОНЫ ЖД СВ")</f>
        <v>ВАГОНЫ ЖД СВ</v>
      </c>
      <c r="H214">
        <f ca="1">IFERROR(__xludf.DUMMYFUNCTION("""COMPUTED_VALUE"""),0)</f>
        <v>0</v>
      </c>
      <c r="I214">
        <f ca="1">IFERROR(__xludf.DUMMYFUNCTION("""COMPUTED_VALUE"""),4149)</f>
        <v>4149</v>
      </c>
      <c r="J214" t="str">
        <f ca="1">IFERROR(__xludf.DUMMYFUNCTION("""COMPUTED_VALUE"""),"3802 (49460-038-49640) БАХМУТ -")</f>
        <v>3802 (49460-038-49640) БАХМУТ -</v>
      </c>
      <c r="K214">
        <f ca="1">IFERROR(__xludf.DUMMYFUNCTION("""COMPUTED_VALUE"""),49620)</f>
        <v>49620</v>
      </c>
      <c r="L214" t="str">
        <f ca="1">IFERROR(__xludf.DUMMYFUNCTION("""COMPUTED_VALUE"""),"ДЕКОНСКАЯ")</f>
        <v>ДЕКОНСКАЯ</v>
      </c>
      <c r="M214" t="str">
        <f ca="1">IFERROR(__xludf.DUMMYFUNCTION("""COMPUTED_VALUE"""),"10.08.21 21-00")</f>
        <v>10.08.21 21-00</v>
      </c>
      <c r="N214" t="str">
        <f ca="1">IFERROR(__xludf.DUMMYFUNCTION("""COMPUTED_VALUE"""),"98 ОТОТ")</f>
        <v>98 ОТОТ</v>
      </c>
      <c r="O214">
        <f ca="1">IFERROR(__xludf.DUMMYFUNCTION("""COMPUTED_VALUE"""),49620)</f>
        <v>49620</v>
      </c>
      <c r="P214" t="str">
        <f ca="1">IFERROR(__xludf.DUMMYFUNCTION("""COMPUTED_VALUE"""),"ДЕКОНСКАЯ")</f>
        <v>ДЕКОНСКАЯ</v>
      </c>
      <c r="Q214">
        <f ca="1">IFERROR(__xludf.DUMMYFUNCTION("""COMPUTED_VALUE"""),44050)</f>
        <v>44050</v>
      </c>
      <c r="R214" t="str">
        <f ca="1">IFERROR(__xludf.DUMMYFUNCTION("""COMPUTED_VALUE"""),"ХАРЬКОВ-БАЛ")</f>
        <v>ХАРЬКОВ-БАЛ</v>
      </c>
      <c r="S214" t="str">
        <f ca="1">IFERROR(__xludf.DUMMYFUNCTION("""COMPUTED_VALUE"""),"07.08.21 18-30")</f>
        <v>07.08.21 18-30</v>
      </c>
      <c r="T214">
        <f ca="1">IFERROR(__xludf.DUMMYFUNCTION("""COMPUTED_VALUE"""),3099)</f>
        <v>3099</v>
      </c>
      <c r="U214" t="str">
        <f ca="1">IFERROR(__xludf.DUMMYFUNCTION("""COMPUTED_VALUE"""),"31.01.2023 ДР")</f>
        <v>31.01.2023 ДР</v>
      </c>
      <c r="Z214" t="str">
        <f ca="1">IFERROR(__xludf.DUMMYFUNCTION("""COMPUTED_VALUE"""),"ООО «ТЕГРА ЛОДЖИСТИКС»")</f>
        <v>ООО «ТЕГРА ЛОДЖИСТИКС»</v>
      </c>
      <c r="AA214" t="str">
        <f ca="1">IFERROR(__xludf.DUMMYFUNCTION("""COMPUTED_VALUE"""),"11-217")</f>
        <v>11-217</v>
      </c>
      <c r="AB214" t="str">
        <f ca="1">IFERROR(__xludf.DUMMYFUNCTION("""COMPUTED_VALUE"""),"48 ДОН")</f>
        <v>48 ДОН</v>
      </c>
      <c r="AC214" t="str">
        <f ca="1">IFERROR(__xludf.DUMMYFUNCTION("""COMPUTED_VALUE"""),"49480 СОЛЬ")</f>
        <v>49480 СОЛЬ</v>
      </c>
      <c r="AD214" t="str">
        <f ca="1">IFERROR(__xludf.DUMMYFUNCTION("""COMPUTED_VALUE"""),"21.02.21 11-35")</f>
        <v>21.02.21 11-35</v>
      </c>
      <c r="AE214" t="str">
        <f ca="1">IFERROR(__xludf.DUMMYFUNCTION("""COMPUTED_VALUE"""),"537 НEИCПPAВНOCТЬ ЗAПOPA ДВEPИ")</f>
        <v>537 НEИCПPAВНOCТЬ ЗAПOPA ДВEPИ</v>
      </c>
      <c r="AF214" t="str">
        <f ca="1">IFERROR(__xludf.DUMMYFUNCTION("""COMPUTED_VALUE"""),"48 ДОН")</f>
        <v>48 ДОН</v>
      </c>
      <c r="AG214" t="str">
        <f ca="1">IFERROR(__xludf.DUMMYFUNCTION("""COMPUTED_VALUE"""),"49480 СОЛЬ")</f>
        <v>49480 СОЛЬ</v>
      </c>
      <c r="AH214" t="str">
        <f ca="1">IFERROR(__xludf.DUMMYFUNCTION("""COMPUTED_VALUE"""),"27.02.21 13-00")</f>
        <v>27.02.21 13-00</v>
      </c>
      <c r="AI214" s="21">
        <f ca="1">IFERROR(__xludf.DUMMYFUNCTION("""COMPUTED_VALUE"""),44420.3576736111)</f>
        <v>44420.357673611099</v>
      </c>
    </row>
    <row r="215" spans="1:35" ht="13" x14ac:dyDescent="0.15">
      <c r="A215">
        <f ca="1">IFERROR(__xludf.DUMMYFUNCTION("""COMPUTED_VALUE"""),820)</f>
        <v>820</v>
      </c>
      <c r="B215" t="str">
        <f ca="1">IFERROR(__xludf.DUMMYFUNCTION("""COMPUTED_VALUE"""),"Кнауф")</f>
        <v>Кнауф</v>
      </c>
      <c r="C215" t="str">
        <f ca="1">IFERROR(__xludf.DUMMYFUNCTION("""COMPUTED_VALUE"""),"ТЕГРА")</f>
        <v>ТЕГРА</v>
      </c>
      <c r="D215">
        <f ca="1">IFERROR(__xludf.DUMMYFUNCTION("""COMPUTED_VALUE"""),24200339)</f>
        <v>24200339</v>
      </c>
      <c r="E215" t="str">
        <f ca="1">IFERROR(__xludf.DUMMYFUNCTION("""COMPUTED_VALUE"""),"20 КРЫТЫЕ")</f>
        <v>20 КРЫТЫЕ</v>
      </c>
      <c r="F215">
        <f ca="1">IFERROR(__xludf.DUMMYFUNCTION("""COMPUTED_VALUE"""),42103)</f>
        <v>42103</v>
      </c>
      <c r="G215" t="str">
        <f ca="1">IFERROR(__xludf.DUMMYFUNCTION("""COMPUTED_VALUE"""),"ВАГОНЫ ЖД СВ")</f>
        <v>ВАГОНЫ ЖД СВ</v>
      </c>
      <c r="H215">
        <f ca="1">IFERROR(__xludf.DUMMYFUNCTION("""COMPUTED_VALUE"""),0)</f>
        <v>0</v>
      </c>
      <c r="I215">
        <f ca="1">IFERROR(__xludf.DUMMYFUNCTION("""COMPUTED_VALUE"""),4149)</f>
        <v>4149</v>
      </c>
      <c r="J215" t="str">
        <f ca="1">IFERROR(__xludf.DUMMYFUNCTION("""COMPUTED_VALUE"""),"3802 (49640-069-49620)  - ДЕКОНСКАЯ")</f>
        <v>3802 (49640-069-49620)  - ДЕКОНСКАЯ</v>
      </c>
      <c r="K215">
        <f ca="1">IFERROR(__xludf.DUMMYFUNCTION("""COMPUTED_VALUE"""),49620)</f>
        <v>49620</v>
      </c>
      <c r="L215" t="str">
        <f ca="1">IFERROR(__xludf.DUMMYFUNCTION("""COMPUTED_VALUE"""),"ДЕКОНСКАЯ")</f>
        <v>ДЕКОНСКАЯ</v>
      </c>
      <c r="M215" t="str">
        <f ca="1">IFERROR(__xludf.DUMMYFUNCTION("""COMPUTED_VALUE"""),"11.08.21 11-00")</f>
        <v>11.08.21 11-00</v>
      </c>
      <c r="N215" t="str">
        <f ca="1">IFERROR(__xludf.DUMMYFUNCTION("""COMPUTED_VALUE"""),"98 ОТОТ")</f>
        <v>98 ОТОТ</v>
      </c>
      <c r="O215">
        <f ca="1">IFERROR(__xludf.DUMMYFUNCTION("""COMPUTED_VALUE"""),49620)</f>
        <v>49620</v>
      </c>
      <c r="P215" t="str">
        <f ca="1">IFERROR(__xludf.DUMMYFUNCTION("""COMPUTED_VALUE"""),"ДЕКОНСКАЯ")</f>
        <v>ДЕКОНСКАЯ</v>
      </c>
      <c r="Q215">
        <f ca="1">IFERROR(__xludf.DUMMYFUNCTION("""COMPUTED_VALUE"""),44050)</f>
        <v>44050</v>
      </c>
      <c r="R215" t="str">
        <f ca="1">IFERROR(__xludf.DUMMYFUNCTION("""COMPUTED_VALUE"""),"ХАРЬКОВ-БАЛ")</f>
        <v>ХАРЬКОВ-БАЛ</v>
      </c>
      <c r="S215" t="str">
        <f ca="1">IFERROR(__xludf.DUMMYFUNCTION("""COMPUTED_VALUE"""),"06.08.21 16-50")</f>
        <v>06.08.21 16-50</v>
      </c>
      <c r="T215">
        <f ca="1">IFERROR(__xludf.DUMMYFUNCTION("""COMPUTED_VALUE"""),1494)</f>
        <v>1494</v>
      </c>
      <c r="U215" t="str">
        <f ca="1">IFERROR(__xludf.DUMMYFUNCTION("""COMPUTED_VALUE"""),"31.01.2023 ДР")</f>
        <v>31.01.2023 ДР</v>
      </c>
      <c r="Z215" t="str">
        <f ca="1">IFERROR(__xludf.DUMMYFUNCTION("""COMPUTED_VALUE"""),"ООО «ТЕГРА ЛОДЖИСТИКС»")</f>
        <v>ООО «ТЕГРА ЛОДЖИСТИКС»</v>
      </c>
      <c r="AA215" t="str">
        <f ca="1">IFERROR(__xludf.DUMMYFUNCTION("""COMPUTED_VALUE"""),"11-217")</f>
        <v>11-217</v>
      </c>
      <c r="AB215" t="str">
        <f ca="1">IFERROR(__xludf.DUMMYFUNCTION("""COMPUTED_VALUE"""),"48 ДОН")</f>
        <v>48 ДОН</v>
      </c>
      <c r="AC215" t="str">
        <f ca="1">IFERROR(__xludf.DUMMYFUNCTION("""COMPUTED_VALUE"""),"49480 СОЛЬ")</f>
        <v>49480 СОЛЬ</v>
      </c>
      <c r="AD215" t="str">
        <f ca="1">IFERROR(__xludf.DUMMYFUNCTION("""COMPUTED_VALUE"""),"31.05.21 11-00")</f>
        <v>31.05.21 11-00</v>
      </c>
      <c r="AE215" t="str">
        <f ca="1">IFERROR(__xludf.DUMMYFUNCTION("""COMPUTED_VALUE"""),"563")</f>
        <v>563</v>
      </c>
      <c r="AF215" t="str">
        <f ca="1">IFERROR(__xludf.DUMMYFUNCTION("""COMPUTED_VALUE"""),"48 ДОН")</f>
        <v>48 ДОН</v>
      </c>
      <c r="AG215" t="str">
        <f ca="1">IFERROR(__xludf.DUMMYFUNCTION("""COMPUTED_VALUE"""),"49480 СОЛЬ")</f>
        <v>49480 СОЛЬ</v>
      </c>
      <c r="AH215" t="str">
        <f ca="1">IFERROR(__xludf.DUMMYFUNCTION("""COMPUTED_VALUE"""),"01.06.21 16-30")</f>
        <v>01.06.21 16-30</v>
      </c>
      <c r="AI215" s="21">
        <f ca="1">IFERROR(__xludf.DUMMYFUNCTION("""COMPUTED_VALUE"""),44420.3576736111)</f>
        <v>44420.357673611099</v>
      </c>
    </row>
    <row r="216" spans="1:35" ht="13" x14ac:dyDescent="0.15">
      <c r="A216">
        <f ca="1">IFERROR(__xludf.DUMMYFUNCTION("""COMPUTED_VALUE"""),821)</f>
        <v>821</v>
      </c>
      <c r="B216" t="str">
        <f ca="1">IFERROR(__xludf.DUMMYFUNCTION("""COMPUTED_VALUE"""),"Кнауф")</f>
        <v>Кнауф</v>
      </c>
      <c r="C216" t="str">
        <f ca="1">IFERROR(__xludf.DUMMYFUNCTION("""COMPUTED_VALUE"""),"ТЕГРА")</f>
        <v>ТЕГРА</v>
      </c>
      <c r="D216">
        <f ca="1">IFERROR(__xludf.DUMMYFUNCTION("""COMPUTED_VALUE"""),24261349)</f>
        <v>24261349</v>
      </c>
      <c r="E216" t="str">
        <f ca="1">IFERROR(__xludf.DUMMYFUNCTION("""COMPUTED_VALUE"""),"20 КРЫТЫЕ")</f>
        <v>20 КРЫТЫЕ</v>
      </c>
      <c r="F216">
        <f ca="1">IFERROR(__xludf.DUMMYFUNCTION("""COMPUTED_VALUE"""),42103)</f>
        <v>42103</v>
      </c>
      <c r="G216" t="str">
        <f ca="1">IFERROR(__xludf.DUMMYFUNCTION("""COMPUTED_VALUE"""),"ВАГОНЫ ЖД СВ")</f>
        <v>ВАГОНЫ ЖД СВ</v>
      </c>
      <c r="H216">
        <f ca="1">IFERROR(__xludf.DUMMYFUNCTION("""COMPUTED_VALUE"""),0)</f>
        <v>0</v>
      </c>
      <c r="I216">
        <f ca="1">IFERROR(__xludf.DUMMYFUNCTION("""COMPUTED_VALUE"""),8199)</f>
        <v>8199</v>
      </c>
      <c r="J216" t="str">
        <f ca="1">IFERROR(__xludf.DUMMYFUNCTION("""COMPUTED_VALUE"""),"2001 (37040-305-38830) КЛЕПАРОВ - ЯМНИЦА")</f>
        <v>2001 (37040-305-38830) КЛЕПАРОВ - ЯМНИЦА</v>
      </c>
      <c r="K216">
        <f ca="1">IFERROR(__xludf.DUMMYFUNCTION("""COMPUTED_VALUE"""),38830)</f>
        <v>38830</v>
      </c>
      <c r="L216" t="str">
        <f ca="1">IFERROR(__xludf.DUMMYFUNCTION("""COMPUTED_VALUE"""),"ЯМНИЦА")</f>
        <v>ЯМНИЦА</v>
      </c>
      <c r="M216" t="str">
        <f ca="1">IFERROR(__xludf.DUMMYFUNCTION("""COMPUTED_VALUE"""),"12.08.21 00-40")</f>
        <v>12.08.21 00-40</v>
      </c>
      <c r="N216" t="str">
        <f ca="1">IFERROR(__xludf.DUMMYFUNCTION("""COMPUTED_VALUE"""),"98 ОТОТ")</f>
        <v>98 ОТОТ</v>
      </c>
      <c r="O216">
        <f ca="1">IFERROR(__xludf.DUMMYFUNCTION("""COMPUTED_VALUE"""),38830)</f>
        <v>38830</v>
      </c>
      <c r="P216" t="str">
        <f ca="1">IFERROR(__xludf.DUMMYFUNCTION("""COMPUTED_VALUE"""),"ЯМНИЦА")</f>
        <v>ЯМНИЦА</v>
      </c>
      <c r="Q216">
        <f ca="1">IFERROR(__xludf.DUMMYFUNCTION("""COMPUTED_VALUE"""),37030)</f>
        <v>37030</v>
      </c>
      <c r="R216" t="str">
        <f ca="1">IFERROR(__xludf.DUMMYFUNCTION("""COMPUTED_VALUE"""),"СКНИЛОВ")</f>
        <v>СКНИЛОВ</v>
      </c>
      <c r="S216" t="str">
        <f ca="1">IFERROR(__xludf.DUMMYFUNCTION("""COMPUTED_VALUE"""),"06.08.21 17-20")</f>
        <v>06.08.21 17-20</v>
      </c>
      <c r="T216">
        <f ca="1">IFERROR(__xludf.DUMMYFUNCTION("""COMPUTED_VALUE"""),8200)</f>
        <v>8200</v>
      </c>
      <c r="U216" t="str">
        <f ca="1">IFERROR(__xludf.DUMMYFUNCTION("""COMPUTED_VALUE"""),"31.01.2023 ДР")</f>
        <v>31.01.2023 ДР</v>
      </c>
      <c r="Z216" t="str">
        <f ca="1">IFERROR(__xludf.DUMMYFUNCTION("""COMPUTED_VALUE"""),"ООО «ТЕГРА ЛОДЖИСТИКС»")</f>
        <v>ООО «ТЕГРА ЛОДЖИСТИКС»</v>
      </c>
      <c r="AA216" t="str">
        <f ca="1">IFERROR(__xludf.DUMMYFUNCTION("""COMPUTED_VALUE"""),"11-217")</f>
        <v>11-217</v>
      </c>
      <c r="AB216" t="str">
        <f ca="1">IFERROR(__xludf.DUMMYFUNCTION("""COMPUTED_VALUE"""),"43 ЮЖН")</f>
        <v>43 ЮЖН</v>
      </c>
      <c r="AC216" t="str">
        <f ca="1">IFERROR(__xludf.DUMMYFUNCTION("""COMPUTED_VALUE"""),"44020 ОСНОВА")</f>
        <v>44020 ОСНОВА</v>
      </c>
      <c r="AD216" t="str">
        <f ca="1">IFERROR(__xludf.DUMMYFUNCTION("""COMPUTED_VALUE"""),"28.02.21 11-25")</f>
        <v>28.02.21 11-25</v>
      </c>
      <c r="AE216" t="str">
        <f ca="1">IFERROR(__xludf.DUMMYFUNCTION("""COMPUTED_VALUE"""),"537 НEИCПPAВНOCТЬ ЗAПOPA ДВEPИ")</f>
        <v>537 НEИCПPAВНOCТЬ ЗAПOPA ДВEPИ</v>
      </c>
      <c r="AF216" t="str">
        <f ca="1">IFERROR(__xludf.DUMMYFUNCTION("""COMPUTED_VALUE"""),"43 ЮЖН")</f>
        <v>43 ЮЖН</v>
      </c>
      <c r="AG216" t="str">
        <f ca="1">IFERROR(__xludf.DUMMYFUNCTION("""COMPUTED_VALUE"""),"44020 ОСНОВА")</f>
        <v>44020 ОСНОВА</v>
      </c>
      <c r="AH216" t="str">
        <f ca="1">IFERROR(__xludf.DUMMYFUNCTION("""COMPUTED_VALUE"""),"01.03.21 17-10")</f>
        <v>01.03.21 17-10</v>
      </c>
      <c r="AI216" s="21">
        <f ca="1">IFERROR(__xludf.DUMMYFUNCTION("""COMPUTED_VALUE"""),44420.3576736111)</f>
        <v>44420.357673611099</v>
      </c>
    </row>
    <row r="217" spans="1:35" ht="13" x14ac:dyDescent="0.15">
      <c r="A217">
        <f ca="1">IFERROR(__xludf.DUMMYFUNCTION("""COMPUTED_VALUE"""),822)</f>
        <v>822</v>
      </c>
      <c r="B217" t="str">
        <f ca="1">IFERROR(__xludf.DUMMYFUNCTION("""COMPUTED_VALUE"""),"Кнауф")</f>
        <v>Кнауф</v>
      </c>
      <c r="C217" t="str">
        <f ca="1">IFERROR(__xludf.DUMMYFUNCTION("""COMPUTED_VALUE"""),"ТЕГРА")</f>
        <v>ТЕГРА</v>
      </c>
      <c r="D217">
        <f ca="1">IFERROR(__xludf.DUMMYFUNCTION("""COMPUTED_VALUE"""),24260663)</f>
        <v>24260663</v>
      </c>
      <c r="E217" t="str">
        <f ca="1">IFERROR(__xludf.DUMMYFUNCTION("""COMPUTED_VALUE"""),"20 КРЫТЫЕ")</f>
        <v>20 КРЫТЫЕ</v>
      </c>
      <c r="F217">
        <f ca="1">IFERROR(__xludf.DUMMYFUNCTION("""COMPUTED_VALUE"""),23304)</f>
        <v>23304</v>
      </c>
      <c r="G217" t="str">
        <f ca="1">IFERROR(__xludf.DUMMYFUNCTION("""COMPUTED_VALUE"""),"ГИПС ПР")</f>
        <v>ГИПС ПР</v>
      </c>
      <c r="H217">
        <f ca="1">IFERROR(__xludf.DUMMYFUNCTION("""COMPUTED_VALUE"""),66)</f>
        <v>66</v>
      </c>
      <c r="I217">
        <f ca="1">IFERROR(__xludf.DUMMYFUNCTION("""COMPUTED_VALUE"""),1658)</f>
        <v>1658</v>
      </c>
      <c r="J217" t="str">
        <f ca="1">IFERROR(__xludf.DUMMYFUNCTION("""COMPUTED_VALUE"""),"3510 (49460-045-49000) БАХМУТ - ЛИМАН")</f>
        <v>3510 (49460-045-49000) БАХМУТ - ЛИМАН</v>
      </c>
      <c r="K217">
        <f ca="1">IFERROR(__xludf.DUMMYFUNCTION("""COMPUTED_VALUE"""),49000)</f>
        <v>49000</v>
      </c>
      <c r="L217" t="str">
        <f ca="1">IFERROR(__xludf.DUMMYFUNCTION("""COMPUTED_VALUE"""),"ЛИМАН")</f>
        <v>ЛИМАН</v>
      </c>
      <c r="M217" t="str">
        <f ca="1">IFERROR(__xludf.DUMMYFUNCTION("""COMPUTED_VALUE"""),"11.08.21 18-19")</f>
        <v>11.08.21 18-19</v>
      </c>
      <c r="N217" t="str">
        <f ca="1">IFERROR(__xludf.DUMMYFUNCTION("""COMPUTED_VALUE"""),"04 РАСФ")</f>
        <v>04 РАСФ</v>
      </c>
      <c r="O217">
        <f ca="1">IFERROR(__xludf.DUMMYFUNCTION("""COMPUTED_VALUE"""),32060)</f>
        <v>32060</v>
      </c>
      <c r="P217" t="str">
        <f ca="1">IFERROR(__xludf.DUMMYFUNCTION("""COMPUTED_VALUE"""),"ПОЧАЙНА")</f>
        <v>ПОЧАЙНА</v>
      </c>
      <c r="Q217">
        <f ca="1">IFERROR(__xludf.DUMMYFUNCTION("""COMPUTED_VALUE"""),49620)</f>
        <v>49620</v>
      </c>
      <c r="R217" t="str">
        <f ca="1">IFERROR(__xludf.DUMMYFUNCTION("""COMPUTED_VALUE"""),"ДЕКОНСКАЯ")</f>
        <v>ДЕКОНСКАЯ</v>
      </c>
      <c r="S217" t="str">
        <f ca="1">IFERROR(__xludf.DUMMYFUNCTION("""COMPUTED_VALUE"""),"10.08.21 09-15")</f>
        <v>10.08.21 09-15</v>
      </c>
      <c r="T217">
        <f ca="1">IFERROR(__xludf.DUMMYFUNCTION("""COMPUTED_VALUE"""),4149)</f>
        <v>4149</v>
      </c>
      <c r="U217" t="str">
        <f ca="1">IFERROR(__xludf.DUMMYFUNCTION("""COMPUTED_VALUE"""),"31.01.2023 ДР")</f>
        <v>31.01.2023 ДР</v>
      </c>
      <c r="Z217" t="str">
        <f ca="1">IFERROR(__xludf.DUMMYFUNCTION("""COMPUTED_VALUE"""),"ООО «ТЕГРА ЛОДЖИСТИКС»")</f>
        <v>ООО «ТЕГРА ЛОДЖИСТИКС»</v>
      </c>
      <c r="AA217" t="str">
        <f ca="1">IFERROR(__xludf.DUMMYFUNCTION("""COMPUTED_VALUE"""),"11-217")</f>
        <v>11-217</v>
      </c>
      <c r="AB217" t="str">
        <f ca="1">IFERROR(__xludf.DUMMYFUNCTION("""COMPUTED_VALUE"""),"32 Ю-ЗАП")</f>
        <v>32 Ю-ЗАП</v>
      </c>
      <c r="AC217" t="str">
        <f ca="1">IFERROR(__xludf.DUMMYFUNCTION("""COMPUTED_VALUE"""),"34350 ФАСТОВ I")</f>
        <v>34350 ФАСТОВ I</v>
      </c>
      <c r="AD217" t="str">
        <f ca="1">IFERROR(__xludf.DUMMYFUNCTION("""COMPUTED_VALUE"""),"14.05.21 01-06")</f>
        <v>14.05.21 01-06</v>
      </c>
      <c r="AE217" t="str">
        <f ca="1">IFERROR(__xludf.DUMMYFUNCTION("""COMPUTED_VALUE"""),"447 PAЗPEГУЛИPOВАНИЕ PЫЧAЖНOЙ ПEPEДAЧИ")</f>
        <v>447 PAЗPEГУЛИPOВАНИЕ PЫЧAЖНOЙ ПEPEДAЧИ</v>
      </c>
      <c r="AF217" t="str">
        <f ca="1">IFERROR(__xludf.DUMMYFUNCTION("""COMPUTED_VALUE"""),"32 Ю-ЗАП")</f>
        <v>32 Ю-ЗАП</v>
      </c>
      <c r="AG217" t="str">
        <f ca="1">IFERROR(__xludf.DUMMYFUNCTION("""COMPUTED_VALUE"""),"34350 ФАСТОВ I")</f>
        <v>34350 ФАСТОВ I</v>
      </c>
      <c r="AH217" t="str">
        <f ca="1">IFERROR(__xludf.DUMMYFUNCTION("""COMPUTED_VALUE"""),"14.05.21 11-30")</f>
        <v>14.05.21 11-30</v>
      </c>
      <c r="AI217" s="21">
        <f ca="1">IFERROR(__xludf.DUMMYFUNCTION("""COMPUTED_VALUE"""),44420.3576736111)</f>
        <v>44420.357673611099</v>
      </c>
    </row>
    <row r="218" spans="1:35" ht="13" x14ac:dyDescent="0.15">
      <c r="A218">
        <f ca="1">IFERROR(__xludf.DUMMYFUNCTION("""COMPUTED_VALUE"""),823)</f>
        <v>823</v>
      </c>
      <c r="B218" t="str">
        <f ca="1">IFERROR(__xludf.DUMMYFUNCTION("""COMPUTED_VALUE"""),"Руссоль")</f>
        <v>Руссоль</v>
      </c>
      <c r="C218" t="str">
        <f ca="1">IFERROR(__xludf.DUMMYFUNCTION("""COMPUTED_VALUE"""),"ТЕГРА")</f>
        <v>ТЕГРА</v>
      </c>
      <c r="D218">
        <f ca="1">IFERROR(__xludf.DUMMYFUNCTION("""COMPUTED_VALUE"""),24200131)</f>
        <v>24200131</v>
      </c>
      <c r="E218" t="str">
        <f ca="1">IFERROR(__xludf.DUMMYFUNCTION("""COMPUTED_VALUE"""),"20 КРЫТЫЕ")</f>
        <v>20 КРЫТЫЕ</v>
      </c>
      <c r="F218">
        <f ca="1">IFERROR(__xludf.DUMMYFUNCTION("""COMPUTED_VALUE"""),42103)</f>
        <v>42103</v>
      </c>
      <c r="G218" t="str">
        <f ca="1">IFERROR(__xludf.DUMMYFUNCTION("""COMPUTED_VALUE"""),"ВАГОНЫ ЖД СВ")</f>
        <v>ВАГОНЫ ЖД СВ</v>
      </c>
      <c r="H218">
        <f ca="1">IFERROR(__xludf.DUMMYFUNCTION("""COMPUTED_VALUE"""),0)</f>
        <v>0</v>
      </c>
      <c r="I218">
        <f ca="1">IFERROR(__xludf.DUMMYFUNCTION("""COMPUTED_VALUE"""),4149)</f>
        <v>4149</v>
      </c>
      <c r="J218" t="str">
        <f ca="1">IFERROR(__xludf.DUMMYFUNCTION("""COMPUTED_VALUE"""),"3653 (32000-441-32060) ДАРНИЦА - ПОЧАЙНА")</f>
        <v>3653 (32000-441-32060) ДАРНИЦА - ПОЧАЙНА</v>
      </c>
      <c r="K218">
        <f ca="1">IFERROR(__xludf.DUMMYFUNCTION("""COMPUTED_VALUE"""),32060)</f>
        <v>32060</v>
      </c>
      <c r="L218" t="str">
        <f ca="1">IFERROR(__xludf.DUMMYFUNCTION("""COMPUTED_VALUE"""),"ПОЧАЙНА")</f>
        <v>ПОЧАЙНА</v>
      </c>
      <c r="M218" t="str">
        <f ca="1">IFERROR(__xludf.DUMMYFUNCTION("""COMPUTED_VALUE"""),"11.08.21 16-00")</f>
        <v>11.08.21 16-00</v>
      </c>
      <c r="N218" t="str">
        <f ca="1">IFERROR(__xludf.DUMMYFUNCTION("""COMPUTED_VALUE"""),"86 ОДПВ")</f>
        <v>86 ОДПВ</v>
      </c>
      <c r="O218">
        <f ca="1">IFERROR(__xludf.DUMMYFUNCTION("""COMPUTED_VALUE"""),49620)</f>
        <v>49620</v>
      </c>
      <c r="P218" t="str">
        <f ca="1">IFERROR(__xludf.DUMMYFUNCTION("""COMPUTED_VALUE"""),"ДЕКОНСКАЯ")</f>
        <v>ДЕКОНСКАЯ</v>
      </c>
      <c r="Q218">
        <f ca="1">IFERROR(__xludf.DUMMYFUNCTION("""COMPUTED_VALUE"""),32060)</f>
        <v>32060</v>
      </c>
      <c r="R218" t="str">
        <f ca="1">IFERROR(__xludf.DUMMYFUNCTION("""COMPUTED_VALUE"""),"ПОЧАЙНА")</f>
        <v>ПОЧАЙНА</v>
      </c>
      <c r="S218" t="str">
        <f ca="1">IFERROR(__xludf.DUMMYFUNCTION("""COMPUTED_VALUE"""),"11.08.21 16-00")</f>
        <v>11.08.21 16-00</v>
      </c>
      <c r="T218">
        <f ca="1">IFERROR(__xludf.DUMMYFUNCTION("""COMPUTED_VALUE"""),1658)</f>
        <v>1658</v>
      </c>
      <c r="U218" t="str">
        <f ca="1">IFERROR(__xludf.DUMMYFUNCTION("""COMPUTED_VALUE"""),"31.01.2023 ДР")</f>
        <v>31.01.2023 ДР</v>
      </c>
      <c r="Z218" t="str">
        <f ca="1">IFERROR(__xludf.DUMMYFUNCTION("""COMPUTED_VALUE"""),"ООО «ТЕГРА ЛОДЖИСТИКС»")</f>
        <v>ООО «ТЕГРА ЛОДЖИСТИКС»</v>
      </c>
      <c r="AA218" t="str">
        <f ca="1">IFERROR(__xludf.DUMMYFUNCTION("""COMPUTED_VALUE"""),"11-217")</f>
        <v>11-217</v>
      </c>
      <c r="AB218" t="str">
        <f ca="1">IFERROR(__xludf.DUMMYFUNCTION("""COMPUTED_VALUE"""),"48 ДОН")</f>
        <v>48 ДОН</v>
      </c>
      <c r="AC218" t="str">
        <f ca="1">IFERROR(__xludf.DUMMYFUNCTION("""COMPUTED_VALUE"""),"49000 ЛИМАН")</f>
        <v>49000 ЛИМАН</v>
      </c>
      <c r="AD218" t="str">
        <f ca="1">IFERROR(__xludf.DUMMYFUNCTION("""COMPUTED_VALUE"""),"20.02.21 04-30")</f>
        <v>20.02.21 04-30</v>
      </c>
      <c r="AE218" t="str">
        <f ca="1">IFERROR(__xludf.DUMMYFUNCTION("""COMPUTED_VALUE"""),"537 НEИCПPAВНOCТЬ ЗAПOPA ДВEPИ")</f>
        <v>537 НEИCПPAВНOCТЬ ЗAПOPA ДВEPИ</v>
      </c>
      <c r="AF218" t="str">
        <f ca="1">IFERROR(__xludf.DUMMYFUNCTION("""COMPUTED_VALUE"""),"48 ДОН")</f>
        <v>48 ДОН</v>
      </c>
      <c r="AG218" t="str">
        <f ca="1">IFERROR(__xludf.DUMMYFUNCTION("""COMPUTED_VALUE"""),"49000 ЛИМАН")</f>
        <v>49000 ЛИМАН</v>
      </c>
      <c r="AH218" t="str">
        <f ca="1">IFERROR(__xludf.DUMMYFUNCTION("""COMPUTED_VALUE"""),"20.02.21 17-00")</f>
        <v>20.02.21 17-00</v>
      </c>
      <c r="AI218" s="21">
        <f ca="1">IFERROR(__xludf.DUMMYFUNCTION("""COMPUTED_VALUE"""),44420.3576736111)</f>
        <v>44420.357673611099</v>
      </c>
    </row>
    <row r="219" spans="1:35" ht="13" x14ac:dyDescent="0.15">
      <c r="A219">
        <f ca="1">IFERROR(__xludf.DUMMYFUNCTION("""COMPUTED_VALUE"""),824)</f>
        <v>824</v>
      </c>
      <c r="B219" t="str">
        <f ca="1">IFERROR(__xludf.DUMMYFUNCTION("""COMPUTED_VALUE"""),"Кнауф")</f>
        <v>Кнауф</v>
      </c>
      <c r="C219" t="str">
        <f ca="1">IFERROR(__xludf.DUMMYFUNCTION("""COMPUTED_VALUE"""),"ТЕГРА")</f>
        <v>ТЕГРА</v>
      </c>
      <c r="D219">
        <f ca="1">IFERROR(__xludf.DUMMYFUNCTION("""COMPUTED_VALUE"""),24200172)</f>
        <v>24200172</v>
      </c>
      <c r="E219" t="str">
        <f ca="1">IFERROR(__xludf.DUMMYFUNCTION("""COMPUTED_VALUE"""),"20 КРЫТЫЕ")</f>
        <v>20 КРЫТЫЕ</v>
      </c>
      <c r="F219">
        <f ca="1">IFERROR(__xludf.DUMMYFUNCTION("""COMPUTED_VALUE"""),42103)</f>
        <v>42103</v>
      </c>
      <c r="G219" t="str">
        <f ca="1">IFERROR(__xludf.DUMMYFUNCTION("""COMPUTED_VALUE"""),"ВАГОНЫ ЖД СВ")</f>
        <v>ВАГОНЫ ЖД СВ</v>
      </c>
      <c r="H219">
        <f ca="1">IFERROR(__xludf.DUMMYFUNCTION("""COMPUTED_VALUE"""),0)</f>
        <v>0</v>
      </c>
      <c r="I219">
        <f ca="1">IFERROR(__xludf.DUMMYFUNCTION("""COMPUTED_VALUE"""),8199)</f>
        <v>8199</v>
      </c>
      <c r="J219" t="str">
        <f ca="1">IFERROR(__xludf.DUMMYFUNCTION("""COMPUTED_VALUE"""),"5555 (32000-600-00080) ДАРНИЦА -")</f>
        <v>5555 (32000-600-00080) ДАРНИЦА -</v>
      </c>
      <c r="K219">
        <f ca="1">IFERROR(__xludf.DUMMYFUNCTION("""COMPUTED_VALUE"""),32000)</f>
        <v>32000</v>
      </c>
      <c r="L219" t="str">
        <f ca="1">IFERROR(__xludf.DUMMYFUNCTION("""COMPUTED_VALUE"""),"ДАРНИЦА")</f>
        <v>ДАРНИЦА</v>
      </c>
      <c r="M219" t="str">
        <f ca="1">IFERROR(__xludf.DUMMYFUNCTION("""COMPUTED_VALUE"""),"12.08.21 03-37")</f>
        <v>12.08.21 03-37</v>
      </c>
      <c r="N219" t="str">
        <f ca="1">IFERROR(__xludf.DUMMYFUNCTION("""COMPUTED_VALUE"""),"05 ФОРМ")</f>
        <v>05 ФОРМ</v>
      </c>
      <c r="O219">
        <f ca="1">IFERROR(__xludf.DUMMYFUNCTION("""COMPUTED_VALUE"""),38830)</f>
        <v>38830</v>
      </c>
      <c r="P219" t="str">
        <f ca="1">IFERROR(__xludf.DUMMYFUNCTION("""COMPUTED_VALUE"""),"ЯМНИЦА")</f>
        <v>ЯМНИЦА</v>
      </c>
      <c r="Q219">
        <f ca="1">IFERROR(__xludf.DUMMYFUNCTION("""COMPUTED_VALUE"""),32040)</f>
        <v>32040</v>
      </c>
      <c r="R219" t="str">
        <f ca="1">IFERROR(__xludf.DUMMYFUNCTION("""COMPUTED_VALUE"""),"ГРУШКИ")</f>
        <v>ГРУШКИ</v>
      </c>
      <c r="S219" t="str">
        <f ca="1">IFERROR(__xludf.DUMMYFUNCTION("""COMPUTED_VALUE"""),"04.08.21 18-20")</f>
        <v>04.08.21 18-20</v>
      </c>
      <c r="T219">
        <f ca="1">IFERROR(__xludf.DUMMYFUNCTION("""COMPUTED_VALUE"""),8200)</f>
        <v>8200</v>
      </c>
      <c r="U219" t="str">
        <f ca="1">IFERROR(__xludf.DUMMYFUNCTION("""COMPUTED_VALUE"""),"30.04.2023 ДР")</f>
        <v>30.04.2023 ДР</v>
      </c>
      <c r="Z219" t="str">
        <f ca="1">IFERROR(__xludf.DUMMYFUNCTION("""COMPUTED_VALUE"""),"ООО «ТЕГРА ЛОДЖИСТИКС»")</f>
        <v>ООО «ТЕГРА ЛОДЖИСТИКС»</v>
      </c>
      <c r="AA219" t="str">
        <f ca="1">IFERROR(__xludf.DUMMYFUNCTION("""COMPUTED_VALUE"""),"11-217")</f>
        <v>11-217</v>
      </c>
      <c r="AB219" t="str">
        <f ca="1">IFERROR(__xludf.DUMMYFUNCTION("""COMPUTED_VALUE"""),"48 ДОН")</f>
        <v>48 ДОН</v>
      </c>
      <c r="AC219" t="str">
        <f ca="1">IFERROR(__xludf.DUMMYFUNCTION("""COMPUTED_VALUE"""),"49000 ЛИМАН")</f>
        <v>49000 ЛИМАН</v>
      </c>
      <c r="AD219" t="str">
        <f ca="1">IFERROR(__xludf.DUMMYFUNCTION("""COMPUTED_VALUE"""),"21.09.20 08-55")</f>
        <v>21.09.20 08-55</v>
      </c>
      <c r="AE219" t="str">
        <f ca="1">IFERROR(__xludf.DUMMYFUNCTION("""COMPUTED_VALUE"""),"537 НEИCПPAВНOCТЬ ЗAПOPA ДВEPИ")</f>
        <v>537 НEИCПPAВНOCТЬ ЗAПOPA ДВEPИ</v>
      </c>
      <c r="AF219" t="str">
        <f ca="1">IFERROR(__xludf.DUMMYFUNCTION("""COMPUTED_VALUE"""),"48 ДОН")</f>
        <v>48 ДОН</v>
      </c>
      <c r="AG219" t="str">
        <f ca="1">IFERROR(__xludf.DUMMYFUNCTION("""COMPUTED_VALUE"""),"49000 ЛИМАН")</f>
        <v>49000 ЛИМАН</v>
      </c>
      <c r="AH219" t="str">
        <f ca="1">IFERROR(__xludf.DUMMYFUNCTION("""COMPUTED_VALUE"""),"21.09.20 17-00")</f>
        <v>21.09.20 17-00</v>
      </c>
      <c r="AI219" s="21">
        <f ca="1">IFERROR(__xludf.DUMMYFUNCTION("""COMPUTED_VALUE"""),44420.3576736111)</f>
        <v>44420.357673611099</v>
      </c>
    </row>
    <row r="220" spans="1:35" ht="13" x14ac:dyDescent="0.15">
      <c r="A220">
        <f ca="1">IFERROR(__xludf.DUMMYFUNCTION("""COMPUTED_VALUE"""),825)</f>
        <v>825</v>
      </c>
      <c r="B220" t="str">
        <f ca="1">IFERROR(__xludf.DUMMYFUNCTION("""COMPUTED_VALUE"""),"Кнауф")</f>
        <v>Кнауф</v>
      </c>
      <c r="C220" t="str">
        <f ca="1">IFERROR(__xludf.DUMMYFUNCTION("""COMPUTED_VALUE"""),"ТЕГРА")</f>
        <v>ТЕГРА</v>
      </c>
      <c r="D220">
        <f ca="1">IFERROR(__xludf.DUMMYFUNCTION("""COMPUTED_VALUE"""),24200230)</f>
        <v>24200230</v>
      </c>
      <c r="E220" t="str">
        <f ca="1">IFERROR(__xludf.DUMMYFUNCTION("""COMPUTED_VALUE"""),"20 КРЫТЫЕ")</f>
        <v>20 КРЫТЫЕ</v>
      </c>
      <c r="F220">
        <f ca="1">IFERROR(__xludf.DUMMYFUNCTION("""COMPUTED_VALUE"""),42103)</f>
        <v>42103</v>
      </c>
      <c r="G220" t="str">
        <f ca="1">IFERROR(__xludf.DUMMYFUNCTION("""COMPUTED_VALUE"""),"ВАГОНЫ ЖД СВ")</f>
        <v>ВАГОНЫ ЖД СВ</v>
      </c>
      <c r="H220">
        <f ca="1">IFERROR(__xludf.DUMMYFUNCTION("""COMPUTED_VALUE"""),0)</f>
        <v>0</v>
      </c>
      <c r="I220">
        <f ca="1">IFERROR(__xludf.DUMMYFUNCTION("""COMPUTED_VALUE"""),4149)</f>
        <v>4149</v>
      </c>
      <c r="J220" t="str">
        <f ca="1">IFERROR(__xludf.DUMMYFUNCTION("""COMPUTED_VALUE"""),"2831 (44020-300-49000) ОСНОВА - ЛИМАН")</f>
        <v>2831 (44020-300-49000) ОСНОВА - ЛИМАН</v>
      </c>
      <c r="K220">
        <f ca="1">IFERROR(__xludf.DUMMYFUNCTION("""COMPUTED_VALUE"""),49005)</f>
        <v>49005</v>
      </c>
      <c r="L220" t="str">
        <f ca="1">IFERROR(__xludf.DUMMYFUNCTION("""COMPUTED_VALUE"""),"ФОРПОСТНАЯ")</f>
        <v>ФОРПОСТНАЯ</v>
      </c>
      <c r="M220" t="str">
        <f ca="1">IFERROR(__xludf.DUMMYFUNCTION("""COMPUTED_VALUE"""),"12.08.21 08-19")</f>
        <v>12.08.21 08-19</v>
      </c>
      <c r="N220" t="str">
        <f ca="1">IFERROR(__xludf.DUMMYFUNCTION("""COMPUTED_VALUE"""),"03 ПРОС")</f>
        <v>03 ПРОС</v>
      </c>
      <c r="O220">
        <f ca="1">IFERROR(__xludf.DUMMYFUNCTION("""COMPUTED_VALUE"""),49620)</f>
        <v>49620</v>
      </c>
      <c r="P220" t="str">
        <f ca="1">IFERROR(__xludf.DUMMYFUNCTION("""COMPUTED_VALUE"""),"ДЕКОНСКАЯ")</f>
        <v>ДЕКОНСКАЯ</v>
      </c>
      <c r="Q220">
        <f ca="1">IFERROR(__xludf.DUMMYFUNCTION("""COMPUTED_VALUE"""),44050)</f>
        <v>44050</v>
      </c>
      <c r="R220" t="str">
        <f ca="1">IFERROR(__xludf.DUMMYFUNCTION("""COMPUTED_VALUE"""),"ХАРЬКОВ-БАЛ")</f>
        <v>ХАРЬКОВ-БАЛ</v>
      </c>
      <c r="S220" t="str">
        <f ca="1">IFERROR(__xludf.DUMMYFUNCTION("""COMPUTED_VALUE"""),"09.08.21 15-10")</f>
        <v>09.08.21 15-10</v>
      </c>
      <c r="T220">
        <f ca="1">IFERROR(__xludf.DUMMYFUNCTION("""COMPUTED_VALUE"""),1494)</f>
        <v>1494</v>
      </c>
      <c r="U220" t="str">
        <f ca="1">IFERROR(__xludf.DUMMYFUNCTION("""COMPUTED_VALUE"""),"25.04.2023 ДР")</f>
        <v>25.04.2023 ДР</v>
      </c>
      <c r="Z220" t="str">
        <f ca="1">IFERROR(__xludf.DUMMYFUNCTION("""COMPUTED_VALUE"""),"ООО «ТЕГРА ЛОДЖИСТИКС»")</f>
        <v>ООО «ТЕГРА ЛОДЖИСТИКС»</v>
      </c>
      <c r="AA220" t="str">
        <f ca="1">IFERROR(__xludf.DUMMYFUNCTION("""COMPUTED_VALUE"""),"11-217")</f>
        <v>11-217</v>
      </c>
      <c r="AB220" t="str">
        <f ca="1">IFERROR(__xludf.DUMMYFUNCTION("""COMPUTED_VALUE"""),"43 ЮЖН")</f>
        <v>43 ЮЖН</v>
      </c>
      <c r="AC220" t="str">
        <f ca="1">IFERROR(__xludf.DUMMYFUNCTION("""COMPUTED_VALUE"""),"44020 ОСНОВА")</f>
        <v>44020 ОСНОВА</v>
      </c>
      <c r="AD220" t="str">
        <f ca="1">IFERROR(__xludf.DUMMYFUNCTION("""COMPUTED_VALUE"""),"28.03.21 11-45")</f>
        <v>28.03.21 11-45</v>
      </c>
      <c r="AE220" t="str">
        <f ca="1">IFERROR(__xludf.DUMMYFUNCTION("""COMPUTED_VALUE"""),"537 НEИCПPAВНOCТЬ ЗAПOPA ДВEPИ")</f>
        <v>537 НEИCПPAВНOCТЬ ЗAПOPA ДВEPИ</v>
      </c>
      <c r="AF220" t="str">
        <f ca="1">IFERROR(__xludf.DUMMYFUNCTION("""COMPUTED_VALUE"""),"43 ЮЖН")</f>
        <v>43 ЮЖН</v>
      </c>
      <c r="AG220" t="str">
        <f ca="1">IFERROR(__xludf.DUMMYFUNCTION("""COMPUTED_VALUE"""),"44020 ОСНОВА")</f>
        <v>44020 ОСНОВА</v>
      </c>
      <c r="AH220" t="str">
        <f ca="1">IFERROR(__xludf.DUMMYFUNCTION("""COMPUTED_VALUE"""),"30.03.21 17-10")</f>
        <v>30.03.21 17-10</v>
      </c>
      <c r="AI220" s="21">
        <f ca="1">IFERROR(__xludf.DUMMYFUNCTION("""COMPUTED_VALUE"""),44420.3576736111)</f>
        <v>44420.357673611099</v>
      </c>
    </row>
    <row r="221" spans="1:35" ht="13" x14ac:dyDescent="0.15">
      <c r="A221">
        <f ca="1">IFERROR(__xludf.DUMMYFUNCTION("""COMPUTED_VALUE"""),826)</f>
        <v>826</v>
      </c>
      <c r="B221" t="str">
        <f ca="1">IFERROR(__xludf.DUMMYFUNCTION("""COMPUTED_VALUE"""),"Руссоль")</f>
        <v>Руссоль</v>
      </c>
      <c r="C221" t="str">
        <f ca="1">IFERROR(__xludf.DUMMYFUNCTION("""COMPUTED_VALUE"""),"ТЕГРА")</f>
        <v>ТЕГРА</v>
      </c>
      <c r="D221">
        <f ca="1">IFERROR(__xludf.DUMMYFUNCTION("""COMPUTED_VALUE"""),24201139)</f>
        <v>24201139</v>
      </c>
      <c r="E221" t="str">
        <f ca="1">IFERROR(__xludf.DUMMYFUNCTION("""COMPUTED_VALUE"""),"20 КРЫТЫЕ")</f>
        <v>20 КРЫТЫЕ</v>
      </c>
      <c r="F221">
        <f ca="1">IFERROR(__xludf.DUMMYFUNCTION("""COMPUTED_VALUE"""),28114)</f>
        <v>28114</v>
      </c>
      <c r="G221" t="str">
        <f ca="1">IFERROR(__xludf.DUMMYFUNCTION("""COMPUTED_VALUE"""),"ЦЕМЕНТ ПР")</f>
        <v>ЦЕМЕНТ ПР</v>
      </c>
      <c r="H221">
        <f ca="1">IFERROR(__xludf.DUMMYFUNCTION("""COMPUTED_VALUE"""),68)</f>
        <v>68</v>
      </c>
      <c r="I221">
        <f ca="1">IFERROR(__xludf.DUMMYFUNCTION("""COMPUTED_VALUE"""),2976)</f>
        <v>2976</v>
      </c>
      <c r="J221" t="str">
        <f ca="1">IFERROR(__xludf.DUMMYFUNCTION("""COMPUTED_VALUE"""),"3187 (45000-412-49000) НИЖНЕДН-УЗЕЛ - ЛИМАН")</f>
        <v>3187 (45000-412-49000) НИЖНЕДН-УЗЕЛ - ЛИМАН</v>
      </c>
      <c r="K221">
        <f ca="1">IFERROR(__xludf.DUMMYFUNCTION("""COMPUTED_VALUE"""),49360)</f>
        <v>49360</v>
      </c>
      <c r="L221" t="str">
        <f ca="1">IFERROR(__xludf.DUMMYFUNCTION("""COMPUTED_VALUE"""),"ДУБОВО")</f>
        <v>ДУБОВО</v>
      </c>
      <c r="M221" t="str">
        <f ca="1">IFERROR(__xludf.DUMMYFUNCTION("""COMPUTED_VALUE"""),"12.08.21 08-14")</f>
        <v>12.08.21 08-14</v>
      </c>
      <c r="N221" t="str">
        <f ca="1">IFERROR(__xludf.DUMMYFUNCTION("""COMPUTED_VALUE"""),"02 ОТПР")</f>
        <v>02 ОТПР</v>
      </c>
      <c r="O221">
        <f ca="1">IFERROR(__xludf.DUMMYFUNCTION("""COMPUTED_VALUE"""),49200)</f>
        <v>49200</v>
      </c>
      <c r="P221" t="str">
        <f ca="1">IFERROR(__xludf.DUMMYFUNCTION("""COMPUTED_VALUE"""),"СЛАВЯНСК")</f>
        <v>СЛАВЯНСК</v>
      </c>
      <c r="Q221">
        <f ca="1">IFERROR(__xludf.DUMMYFUNCTION("""COMPUTED_VALUE"""),45590)</f>
        <v>45590</v>
      </c>
      <c r="R221" t="str">
        <f ca="1">IFERROR(__xludf.DUMMYFUNCTION("""COMPUTED_VALUE"""),"ТРИТУЗНАЯ")</f>
        <v>ТРИТУЗНАЯ</v>
      </c>
      <c r="S221" t="str">
        <f ca="1">IFERROR(__xludf.DUMMYFUNCTION("""COMPUTED_VALUE"""),"09.08.21 10-45")</f>
        <v>09.08.21 10-45</v>
      </c>
      <c r="T221">
        <f ca="1">IFERROR(__xludf.DUMMYFUNCTION("""COMPUTED_VALUE"""),5620)</f>
        <v>5620</v>
      </c>
      <c r="U221" t="str">
        <f ca="1">IFERROR(__xludf.DUMMYFUNCTION("""COMPUTED_VALUE"""),"26.04.2023 ДР")</f>
        <v>26.04.2023 ДР</v>
      </c>
      <c r="Z221" t="str">
        <f ca="1">IFERROR(__xludf.DUMMYFUNCTION("""COMPUTED_VALUE"""),"ООО «ТЕГРА ЛОДЖИСТИКС»")</f>
        <v>ООО «ТЕГРА ЛОДЖИСТИКС»</v>
      </c>
      <c r="AA221" t="str">
        <f ca="1">IFERROR(__xludf.DUMMYFUNCTION("""COMPUTED_VALUE"""),"11-217")</f>
        <v>11-217</v>
      </c>
      <c r="AB221" t="str">
        <f ca="1">IFERROR(__xludf.DUMMYFUNCTION("""COMPUTED_VALUE"""),"48 ДОН")</f>
        <v>48 ДОН</v>
      </c>
      <c r="AC221" t="str">
        <f ca="1">IFERROR(__xludf.DUMMYFUNCTION("""COMPUTED_VALUE"""),"48200 ПОКРОВСК")</f>
        <v>48200 ПОКРОВСК</v>
      </c>
      <c r="AD221" t="str">
        <f ca="1">IFERROR(__xludf.DUMMYFUNCTION("""COMPUTED_VALUE"""),"04.03.20 11-00")</f>
        <v>04.03.20 11-00</v>
      </c>
      <c r="AE221" t="str">
        <f ca="1">IFERROR(__xludf.DUMMYFUNCTION("""COMPUTED_VALUE"""),"571 ИCТEК КAЛЕНДАРНЫЙ CPOК КAПИТAЛЬНОГО PEМOНТA")</f>
        <v>571 ИCТEК КAЛЕНДАРНЫЙ CPOК КAПИТAЛЬНОГО PEМOНТA</v>
      </c>
      <c r="AF221" t="str">
        <f ca="1">IFERROR(__xludf.DUMMYFUNCTION("""COMPUTED_VALUE"""),"48 ДОН")</f>
        <v>48 ДОН</v>
      </c>
      <c r="AG221" t="str">
        <f ca="1">IFERROR(__xludf.DUMMYFUNCTION("""COMPUTED_VALUE"""),"48200 ПОКРОВСК")</f>
        <v>48200 ПОКРОВСК</v>
      </c>
      <c r="AH221" t="str">
        <f ca="1">IFERROR(__xludf.DUMMYFUNCTION("""COMPUTED_VALUE"""),"26.04.20 16-00")</f>
        <v>26.04.20 16-00</v>
      </c>
      <c r="AI221" s="21">
        <f ca="1">IFERROR(__xludf.DUMMYFUNCTION("""COMPUTED_VALUE"""),44420.3576736111)</f>
        <v>44420.357673611099</v>
      </c>
    </row>
    <row r="222" spans="1:35" ht="13" x14ac:dyDescent="0.15">
      <c r="A222">
        <f ca="1">IFERROR(__xludf.DUMMYFUNCTION("""COMPUTED_VALUE"""),827)</f>
        <v>827</v>
      </c>
      <c r="B222" t="str">
        <f ca="1">IFERROR(__xludf.DUMMYFUNCTION("""COMPUTED_VALUE"""),"Кнауф")</f>
        <v>Кнауф</v>
      </c>
      <c r="C222" t="str">
        <f ca="1">IFERROR(__xludf.DUMMYFUNCTION("""COMPUTED_VALUE"""),"ТЕГРА")</f>
        <v>ТЕГРА</v>
      </c>
      <c r="D222">
        <f ca="1">IFERROR(__xludf.DUMMYFUNCTION("""COMPUTED_VALUE"""),24405300)</f>
        <v>24405300</v>
      </c>
      <c r="E222" t="str">
        <f ca="1">IFERROR(__xludf.DUMMYFUNCTION("""COMPUTED_VALUE"""),"20 КРЫТЫЕ")</f>
        <v>20 КРЫТЫЕ</v>
      </c>
      <c r="F222">
        <f ca="1">IFERROR(__xludf.DUMMYFUNCTION("""COMPUTED_VALUE"""),28114)</f>
        <v>28114</v>
      </c>
      <c r="G222" t="str">
        <f ca="1">IFERROR(__xludf.DUMMYFUNCTION("""COMPUTED_VALUE"""),"ЦЕМЕНТ ПР")</f>
        <v>ЦЕМЕНТ ПР</v>
      </c>
      <c r="H222">
        <f ca="1">IFERROR(__xludf.DUMMYFUNCTION("""COMPUTED_VALUE"""),68)</f>
        <v>68</v>
      </c>
      <c r="I222">
        <f ca="1">IFERROR(__xludf.DUMMYFUNCTION("""COMPUTED_VALUE"""),3553)</f>
        <v>3553</v>
      </c>
      <c r="J222" t="str">
        <f ca="1">IFERROR(__xludf.DUMMYFUNCTION("""COMPUTED_VALUE"""),"2346 (38830-080-37000) ЯМНИЦА - ЛЬВОВ")</f>
        <v>2346 (38830-080-37000) ЯМНИЦА - ЛЬВОВ</v>
      </c>
      <c r="K222">
        <f ca="1">IFERROR(__xludf.DUMMYFUNCTION("""COMPUTED_VALUE"""),37000)</f>
        <v>37000</v>
      </c>
      <c r="L222" t="str">
        <f ca="1">IFERROR(__xludf.DUMMYFUNCTION("""COMPUTED_VALUE"""),"ЛЬВОВ")</f>
        <v>ЛЬВОВ</v>
      </c>
      <c r="M222" t="str">
        <f ca="1">IFERROR(__xludf.DUMMYFUNCTION("""COMPUTED_VALUE"""),"12.08.21 00-54")</f>
        <v>12.08.21 00-54</v>
      </c>
      <c r="N222" t="str">
        <f ca="1">IFERROR(__xludf.DUMMYFUNCTION("""COMPUTED_VALUE"""),"01 ПРИБ")</f>
        <v>01 ПРИБ</v>
      </c>
      <c r="O222">
        <f ca="1">IFERROR(__xludf.DUMMYFUNCTION("""COMPUTED_VALUE"""),44090)</f>
        <v>44090</v>
      </c>
      <c r="P222" t="str">
        <f ca="1">IFERROR(__xludf.DUMMYFUNCTION("""COMPUTED_VALUE"""),"ЗАЛЮТИНО")</f>
        <v>ЗАЛЮТИНО</v>
      </c>
      <c r="Q222">
        <f ca="1">IFERROR(__xludf.DUMMYFUNCTION("""COMPUTED_VALUE"""),38830)</f>
        <v>38830</v>
      </c>
      <c r="R222" t="str">
        <f ca="1">IFERROR(__xludf.DUMMYFUNCTION("""COMPUTED_VALUE"""),"ЯМНИЦА")</f>
        <v>ЯМНИЦА</v>
      </c>
      <c r="S222" t="str">
        <f ca="1">IFERROR(__xludf.DUMMYFUNCTION("""COMPUTED_VALUE"""),"09.08.21 18-20")</f>
        <v>09.08.21 18-20</v>
      </c>
      <c r="T222">
        <f ca="1">IFERROR(__xludf.DUMMYFUNCTION("""COMPUTED_VALUE"""),8199)</f>
        <v>8199</v>
      </c>
      <c r="U222" t="str">
        <f ca="1">IFERROR(__xludf.DUMMYFUNCTION("""COMPUTED_VALUE"""),"22.04.2023 ДР")</f>
        <v>22.04.2023 ДР</v>
      </c>
      <c r="Z222" t="str">
        <f ca="1">IFERROR(__xludf.DUMMYFUNCTION("""COMPUTED_VALUE"""),"ООО «ТЕГРА ЛОДЖИСТИКС»")</f>
        <v>ООО «ТЕГРА ЛОДЖИСТИКС»</v>
      </c>
      <c r="AA222" t="str">
        <f ca="1">IFERROR(__xludf.DUMMYFUNCTION("""COMPUTED_VALUE"""),"11-217")</f>
        <v>11-217</v>
      </c>
      <c r="AB222" t="str">
        <f ca="1">IFERROR(__xludf.DUMMYFUNCTION("""COMPUTED_VALUE"""),"48 ДОН")</f>
        <v>48 ДОН</v>
      </c>
      <c r="AC222" t="str">
        <f ca="1">IFERROR(__xludf.DUMMYFUNCTION("""COMPUTED_VALUE"""),"49480 СОЛЬ")</f>
        <v>49480 СОЛЬ</v>
      </c>
      <c r="AD222" t="str">
        <f ca="1">IFERROR(__xludf.DUMMYFUNCTION("""COMPUTED_VALUE"""),"23.03.21 06-40")</f>
        <v>23.03.21 06-40</v>
      </c>
      <c r="AE222" t="str">
        <f ca="1">IFERROR(__xludf.DUMMYFUNCTION("""COMPUTED_VALUE"""),"537 НEИCПPAВНOCТЬ ЗAПOPA ДВEPИ")</f>
        <v>537 НEИCПPAВНOCТЬ ЗAПOPA ДВEPИ</v>
      </c>
      <c r="AF222" t="str">
        <f ca="1">IFERROR(__xludf.DUMMYFUNCTION("""COMPUTED_VALUE"""),"48 ДОН")</f>
        <v>48 ДОН</v>
      </c>
      <c r="AG222" t="str">
        <f ca="1">IFERROR(__xludf.DUMMYFUNCTION("""COMPUTED_VALUE"""),"49480 СОЛЬ")</f>
        <v>49480 СОЛЬ</v>
      </c>
      <c r="AH222" t="str">
        <f ca="1">IFERROR(__xludf.DUMMYFUNCTION("""COMPUTED_VALUE"""),"24.03.21 16-30")</f>
        <v>24.03.21 16-30</v>
      </c>
      <c r="AI222" s="21">
        <f ca="1">IFERROR(__xludf.DUMMYFUNCTION("""COMPUTED_VALUE"""),44420.3576736111)</f>
        <v>44420.357673611099</v>
      </c>
    </row>
    <row r="223" spans="1:35" ht="13" x14ac:dyDescent="0.15">
      <c r="A223">
        <f ca="1">IFERROR(__xludf.DUMMYFUNCTION("""COMPUTED_VALUE"""),828)</f>
        <v>828</v>
      </c>
      <c r="B223" t="str">
        <f ca="1">IFERROR(__xludf.DUMMYFUNCTION("""COMPUTED_VALUE"""),"Руссоль")</f>
        <v>Руссоль</v>
      </c>
      <c r="C223" t="str">
        <f ca="1">IFERROR(__xludf.DUMMYFUNCTION("""COMPUTED_VALUE"""),"ТЕГРА")</f>
        <v>ТЕГРА</v>
      </c>
      <c r="D223">
        <f ca="1">IFERROR(__xludf.DUMMYFUNCTION("""COMPUTED_VALUE"""),26000398)</f>
        <v>26000398</v>
      </c>
      <c r="E223" t="str">
        <f ca="1">IFERROR(__xludf.DUMMYFUNCTION("""COMPUTED_VALUE"""),"20 КРЫТЫЕ")</f>
        <v>20 КРЫТЫЕ</v>
      </c>
      <c r="F223">
        <f ca="1">IFERROR(__xludf.DUMMYFUNCTION("""COMPUTED_VALUE"""),42103)</f>
        <v>42103</v>
      </c>
      <c r="G223" t="str">
        <f ca="1">IFERROR(__xludf.DUMMYFUNCTION("""COMPUTED_VALUE"""),"ВАГОНЫ ЖД СВ")</f>
        <v>ВАГОНЫ ЖД СВ</v>
      </c>
      <c r="H223">
        <f ca="1">IFERROR(__xludf.DUMMYFUNCTION("""COMPUTED_VALUE"""),0)</f>
        <v>0</v>
      </c>
      <c r="I223">
        <f ca="1">IFERROR(__xludf.DUMMYFUNCTION("""COMPUTED_VALUE"""),4714)</f>
        <v>4714</v>
      </c>
      <c r="J223" t="str">
        <f ca="1">IFERROR(__xludf.DUMMYFUNCTION("""COMPUTED_VALUE"""),"3001 (33060-022-33000) ГРЕЧАНЫ - ЖМЕРИНКА")</f>
        <v>3001 (33060-022-33000) ГРЕЧАНЫ - ЖМЕРИНКА</v>
      </c>
      <c r="K223">
        <f ca="1">IFERROR(__xludf.DUMMYFUNCTION("""COMPUTED_VALUE"""),33060)</f>
        <v>33060</v>
      </c>
      <c r="L223" t="str">
        <f ca="1">IFERROR(__xludf.DUMMYFUNCTION("""COMPUTED_VALUE"""),"ГРЕЧАНЫ")</f>
        <v>ГРЕЧАНЫ</v>
      </c>
      <c r="M223" t="str">
        <f ca="1">IFERROR(__xludf.DUMMYFUNCTION("""COMPUTED_VALUE"""),"11.08.21 02-52")</f>
        <v>11.08.21 02-52</v>
      </c>
      <c r="N223" t="str">
        <f ca="1">IFERROR(__xludf.DUMMYFUNCTION("""COMPUTED_VALUE"""),"05 ФОРМ")</f>
        <v>05 ФОРМ</v>
      </c>
      <c r="O223">
        <f ca="1">IFERROR(__xludf.DUMMYFUNCTION("""COMPUTED_VALUE"""),49480)</f>
        <v>49480</v>
      </c>
      <c r="P223" t="str">
        <f ca="1">IFERROR(__xludf.DUMMYFUNCTION("""COMPUTED_VALUE"""),"СОЛЬ")</f>
        <v>СОЛЬ</v>
      </c>
      <c r="Q223">
        <f ca="1">IFERROR(__xludf.DUMMYFUNCTION("""COMPUTED_VALUE"""),33070)</f>
        <v>33070</v>
      </c>
      <c r="R223" t="str">
        <f ca="1">IFERROR(__xludf.DUMMYFUNCTION("""COMPUTED_VALUE"""),"ХМЕЛЬНИЦКИЙ")</f>
        <v>ХМЕЛЬНИЦКИЙ</v>
      </c>
      <c r="S223" t="str">
        <f ca="1">IFERROR(__xludf.DUMMYFUNCTION("""COMPUTED_VALUE"""),"06.08.21 17-00")</f>
        <v>06.08.21 17-00</v>
      </c>
      <c r="T223">
        <f ca="1">IFERROR(__xludf.DUMMYFUNCTION("""COMPUTED_VALUE"""),4325)</f>
        <v>4325</v>
      </c>
      <c r="U223" t="str">
        <f ca="1">IFERROR(__xludf.DUMMYFUNCTION("""COMPUTED_VALUE"""),"22.04.2023 ДР")</f>
        <v>22.04.2023 ДР</v>
      </c>
      <c r="Z223" t="str">
        <f ca="1">IFERROR(__xludf.DUMMYFUNCTION("""COMPUTED_VALUE"""),"ООО «ТЕГРА ЛОДЖИСТИКС»")</f>
        <v>ООО «ТЕГРА ЛОДЖИСТИКС»</v>
      </c>
      <c r="AA223" t="str">
        <f ca="1">IFERROR(__xludf.DUMMYFUNCTION("""COMPUTED_VALUE"""),"11-264")</f>
        <v>11-264</v>
      </c>
      <c r="AB223" t="str">
        <f ca="1">IFERROR(__xludf.DUMMYFUNCTION("""COMPUTED_VALUE"""),"48 ДОН")</f>
        <v>48 ДОН</v>
      </c>
      <c r="AC223" t="str">
        <f ca="1">IFERROR(__xludf.DUMMYFUNCTION("""COMPUTED_VALUE"""),"49480 СОЛЬ")</f>
        <v>49480 СОЛЬ</v>
      </c>
      <c r="AD223" t="str">
        <f ca="1">IFERROR(__xludf.DUMMYFUNCTION("""COMPUTED_VALUE"""),"19.06.21 08-45")</f>
        <v>19.06.21 08-45</v>
      </c>
      <c r="AE223" t="str">
        <f ca="1">IFERROR(__xludf.DUMMYFUNCTION("""COMPUTED_VALUE"""),"537 НEИCПPAВНOCТЬ ЗAПOPA ДВEPИ")</f>
        <v>537 НEИCПPAВНOCТЬ ЗAПOPA ДВEPИ</v>
      </c>
      <c r="AF223" t="str">
        <f ca="1">IFERROR(__xludf.DUMMYFUNCTION("""COMPUTED_VALUE"""),"48 ДОН")</f>
        <v>48 ДОН</v>
      </c>
      <c r="AG223" t="str">
        <f ca="1">IFERROR(__xludf.DUMMYFUNCTION("""COMPUTED_VALUE"""),"49480 СОЛЬ")</f>
        <v>49480 СОЛЬ</v>
      </c>
      <c r="AH223" t="str">
        <f ca="1">IFERROR(__xludf.DUMMYFUNCTION("""COMPUTED_VALUE"""),"26.06.21 13-00")</f>
        <v>26.06.21 13-00</v>
      </c>
      <c r="AI223" s="21">
        <f ca="1">IFERROR(__xludf.DUMMYFUNCTION("""COMPUTED_VALUE"""),44420.3576736111)</f>
        <v>44420.357673611099</v>
      </c>
    </row>
    <row r="224" spans="1:35" ht="13" x14ac:dyDescent="0.15">
      <c r="A224">
        <f ca="1">IFERROR(__xludf.DUMMYFUNCTION("""COMPUTED_VALUE"""),829)</f>
        <v>829</v>
      </c>
      <c r="B224" t="str">
        <f ca="1">IFERROR(__xludf.DUMMYFUNCTION("""COMPUTED_VALUE"""),"Кнауф")</f>
        <v>Кнауф</v>
      </c>
      <c r="C224" t="str">
        <f ca="1">IFERROR(__xludf.DUMMYFUNCTION("""COMPUTED_VALUE"""),"ТЕГРА")</f>
        <v>ТЕГРА</v>
      </c>
      <c r="D224">
        <f ca="1">IFERROR(__xludf.DUMMYFUNCTION("""COMPUTED_VALUE"""),24207664)</f>
        <v>24207664</v>
      </c>
      <c r="E224" t="str">
        <f ca="1">IFERROR(__xludf.DUMMYFUNCTION("""COMPUTED_VALUE"""),"20 КРЫТЫЕ")</f>
        <v>20 КРЫТЫЕ</v>
      </c>
      <c r="F224">
        <f ca="1">IFERROR(__xludf.DUMMYFUNCTION("""COMPUTED_VALUE"""),42103)</f>
        <v>42103</v>
      </c>
      <c r="G224" t="str">
        <f ca="1">IFERROR(__xludf.DUMMYFUNCTION("""COMPUTED_VALUE"""),"ВАГОНЫ ЖД СВ")</f>
        <v>ВАГОНЫ ЖД СВ</v>
      </c>
      <c r="H224">
        <f ca="1">IFERROR(__xludf.DUMMYFUNCTION("""COMPUTED_VALUE"""),0)</f>
        <v>0</v>
      </c>
      <c r="I224">
        <f ca="1">IFERROR(__xludf.DUMMYFUNCTION("""COMPUTED_VALUE"""),4149)</f>
        <v>4149</v>
      </c>
      <c r="J224" t="str">
        <f ca="1">IFERROR(__xludf.DUMMYFUNCTION("""COMPUTED_VALUE"""),"3803 (44050-079-44020) ХАРЬКОВ-БАЛ - ОСНОВА")</f>
        <v>3803 (44050-079-44020) ХАРЬКОВ-БАЛ - ОСНОВА</v>
      </c>
      <c r="K224">
        <f ca="1">IFERROR(__xludf.DUMMYFUNCTION("""COMPUTED_VALUE"""),44050)</f>
        <v>44050</v>
      </c>
      <c r="L224" t="str">
        <f ca="1">IFERROR(__xludf.DUMMYFUNCTION("""COMPUTED_VALUE"""),"ХАРЬКОВ-БАЛ")</f>
        <v>ХАРЬКОВ-БАЛ</v>
      </c>
      <c r="M224" t="str">
        <f ca="1">IFERROR(__xludf.DUMMYFUNCTION("""COMPUTED_VALUE"""),"12.08.21 05-30")</f>
        <v>12.08.21 05-30</v>
      </c>
      <c r="N224" t="str">
        <f ca="1">IFERROR(__xludf.DUMMYFUNCTION("""COMPUTED_VALUE"""),"05 ФОРМ")</f>
        <v>05 ФОРМ</v>
      </c>
      <c r="O224">
        <f ca="1">IFERROR(__xludf.DUMMYFUNCTION("""COMPUTED_VALUE"""),49620)</f>
        <v>49620</v>
      </c>
      <c r="P224" t="str">
        <f ca="1">IFERROR(__xludf.DUMMYFUNCTION("""COMPUTED_VALUE"""),"ДЕКОНСКАЯ")</f>
        <v>ДЕКОНСКАЯ</v>
      </c>
      <c r="Q224">
        <f ca="1">IFERROR(__xludf.DUMMYFUNCTION("""COMPUTED_VALUE"""),44050)</f>
        <v>44050</v>
      </c>
      <c r="R224" t="str">
        <f ca="1">IFERROR(__xludf.DUMMYFUNCTION("""COMPUTED_VALUE"""),"ХАРЬКОВ-БАЛ")</f>
        <v>ХАРЬКОВ-БАЛ</v>
      </c>
      <c r="S224" t="str">
        <f ca="1">IFERROR(__xludf.DUMMYFUNCTION("""COMPUTED_VALUE"""),"11.08.21 17-20")</f>
        <v>11.08.21 17-20</v>
      </c>
      <c r="T224">
        <f ca="1">IFERROR(__xludf.DUMMYFUNCTION("""COMPUTED_VALUE"""),1494)</f>
        <v>1494</v>
      </c>
      <c r="U224" t="str">
        <f ca="1">IFERROR(__xludf.DUMMYFUNCTION("""COMPUTED_VALUE"""),"30.04.2023 ДР")</f>
        <v>30.04.2023 ДР</v>
      </c>
      <c r="Z224" t="str">
        <f ca="1">IFERROR(__xludf.DUMMYFUNCTION("""COMPUTED_VALUE"""),"ООО «ТЕГРА ЛОДЖИСТИКС»")</f>
        <v>ООО «ТЕГРА ЛОДЖИСТИКС»</v>
      </c>
      <c r="AA224" t="str">
        <f ca="1">IFERROR(__xludf.DUMMYFUNCTION("""COMPUTED_VALUE"""),"11-217")</f>
        <v>11-217</v>
      </c>
      <c r="AB224" t="str">
        <f ca="1">IFERROR(__xludf.DUMMYFUNCTION("""COMPUTED_VALUE"""),"43 ЮЖН")</f>
        <v>43 ЮЖН</v>
      </c>
      <c r="AC224" t="str">
        <f ca="1">IFERROR(__xludf.DUMMYFUNCTION("""COMPUTED_VALUE"""),"44020 ОСНОВА")</f>
        <v>44020 ОСНОВА</v>
      </c>
      <c r="AD224" t="str">
        <f ca="1">IFERROR(__xludf.DUMMYFUNCTION("""COMPUTED_VALUE"""),"24.03.21 10-25")</f>
        <v>24.03.21 10-25</v>
      </c>
      <c r="AE224" t="str">
        <f ca="1">IFERROR(__xludf.DUMMYFUNCTION("""COMPUTED_VALUE"""),"537 НEИCПPAВНOCТЬ ЗAПOPA ДВEPИ")</f>
        <v>537 НEИCПPAВНOCТЬ ЗAПOPA ДВEPИ</v>
      </c>
      <c r="AF224" t="str">
        <f ca="1">IFERROR(__xludf.DUMMYFUNCTION("""COMPUTED_VALUE"""),"43 ЮЖН")</f>
        <v>43 ЮЖН</v>
      </c>
      <c r="AG224" t="str">
        <f ca="1">IFERROR(__xludf.DUMMYFUNCTION("""COMPUTED_VALUE"""),"44020 ОСНОВА")</f>
        <v>44020 ОСНОВА</v>
      </c>
      <c r="AH224" t="str">
        <f ca="1">IFERROR(__xludf.DUMMYFUNCTION("""COMPUTED_VALUE"""),"27.03.21 17-10")</f>
        <v>27.03.21 17-10</v>
      </c>
      <c r="AI224" s="21">
        <f ca="1">IFERROR(__xludf.DUMMYFUNCTION("""COMPUTED_VALUE"""),44420.3576736111)</f>
        <v>44420.357673611099</v>
      </c>
    </row>
    <row r="225" spans="1:35" ht="13" x14ac:dyDescent="0.15">
      <c r="A225">
        <f ca="1">IFERROR(__xludf.DUMMYFUNCTION("""COMPUTED_VALUE"""),830)</f>
        <v>830</v>
      </c>
      <c r="B225" t="str">
        <f ca="1">IFERROR(__xludf.DUMMYFUNCTION("""COMPUTED_VALUE"""),"Кнауф")</f>
        <v>Кнауф</v>
      </c>
      <c r="C225" t="str">
        <f ca="1">IFERROR(__xludf.DUMMYFUNCTION("""COMPUTED_VALUE"""),"ТЕГРА")</f>
        <v>ТЕГРА</v>
      </c>
      <c r="D225">
        <f ca="1">IFERROR(__xludf.DUMMYFUNCTION("""COMPUTED_VALUE"""),24201246)</f>
        <v>24201246</v>
      </c>
      <c r="E225" t="str">
        <f ca="1">IFERROR(__xludf.DUMMYFUNCTION("""COMPUTED_VALUE"""),"20 КРЫТЫЕ")</f>
        <v>20 КРЫТЫЕ</v>
      </c>
      <c r="F225">
        <f ca="1">IFERROR(__xludf.DUMMYFUNCTION("""COMPUTED_VALUE"""),23304)</f>
        <v>23304</v>
      </c>
      <c r="G225" t="str">
        <f ca="1">IFERROR(__xludf.DUMMYFUNCTION("""COMPUTED_VALUE"""),"ГИПС ПР")</f>
        <v>ГИПС ПР</v>
      </c>
      <c r="H225">
        <f ca="1">IFERROR(__xludf.DUMMYFUNCTION("""COMPUTED_VALUE"""),65)</f>
        <v>65</v>
      </c>
      <c r="I225">
        <f ca="1">IFERROR(__xludf.DUMMYFUNCTION("""COMPUTED_VALUE"""),4813)</f>
        <v>4813</v>
      </c>
      <c r="J225" t="str">
        <f ca="1">IFERROR(__xludf.DUMMYFUNCTION("""COMPUTED_VALUE"""),"2223 (44020-103-37040) ОСНОВА - КЛЕПАРОВ")</f>
        <v>2223 (44020-103-37040) ОСНОВА - КЛЕПАРОВ</v>
      </c>
      <c r="K225">
        <f ca="1">IFERROR(__xludf.DUMMYFUNCTION("""COMPUTED_VALUE"""),37040)</f>
        <v>37040</v>
      </c>
      <c r="L225" t="str">
        <f ca="1">IFERROR(__xludf.DUMMYFUNCTION("""COMPUTED_VALUE"""),"КЛЕПАРОВ")</f>
        <v>КЛЕПАРОВ</v>
      </c>
      <c r="M225" t="str">
        <f ca="1">IFERROR(__xludf.DUMMYFUNCTION("""COMPUTED_VALUE"""),"12.08.21 06-19")</f>
        <v>12.08.21 06-19</v>
      </c>
      <c r="N225" t="str">
        <f ca="1">IFERROR(__xludf.DUMMYFUNCTION("""COMPUTED_VALUE"""),"04 РАСФ")</f>
        <v>04 РАСФ</v>
      </c>
      <c r="O225">
        <f ca="1">IFERROR(__xludf.DUMMYFUNCTION("""COMPUTED_VALUE"""),38440)</f>
        <v>38440</v>
      </c>
      <c r="P225" t="str">
        <f ca="1">IFERROR(__xludf.DUMMYFUNCTION("""COMPUTED_VALUE"""),"ВИНОГР-ЗАКАР")</f>
        <v>ВИНОГР-ЗАКАР</v>
      </c>
      <c r="Q225">
        <f ca="1">IFERROR(__xludf.DUMMYFUNCTION("""COMPUTED_VALUE"""),49620)</f>
        <v>49620</v>
      </c>
      <c r="R225" t="str">
        <f ca="1">IFERROR(__xludf.DUMMYFUNCTION("""COMPUTED_VALUE"""),"ДЕКОНСКАЯ")</f>
        <v>ДЕКОНСКАЯ</v>
      </c>
      <c r="S225" t="str">
        <f ca="1">IFERROR(__xludf.DUMMYFUNCTION("""COMPUTED_VALUE"""),"06.08.21 09-00")</f>
        <v>06.08.21 09-00</v>
      </c>
      <c r="T225">
        <f ca="1">IFERROR(__xludf.DUMMYFUNCTION("""COMPUTED_VALUE"""),4149)</f>
        <v>4149</v>
      </c>
      <c r="U225" t="str">
        <f ca="1">IFERROR(__xludf.DUMMYFUNCTION("""COMPUTED_VALUE"""),"22.04.2023 ДР")</f>
        <v>22.04.2023 ДР</v>
      </c>
      <c r="Z225" t="str">
        <f ca="1">IFERROR(__xludf.DUMMYFUNCTION("""COMPUTED_VALUE"""),"ООО «ТЕГРА ЛОДЖИСТИКС»")</f>
        <v>ООО «ТЕГРА ЛОДЖИСТИКС»</v>
      </c>
      <c r="AA225" t="str">
        <f ca="1">IFERROR(__xludf.DUMMYFUNCTION("""COMPUTED_VALUE"""),"11-217")</f>
        <v>11-217</v>
      </c>
      <c r="AB225" t="str">
        <f ca="1">IFERROR(__xludf.DUMMYFUNCTION("""COMPUTED_VALUE"""),"48 ДОН")</f>
        <v>48 ДОН</v>
      </c>
      <c r="AC225" t="str">
        <f ca="1">IFERROR(__xludf.DUMMYFUNCTION("""COMPUTED_VALUE"""),"49480 СОЛЬ")</f>
        <v>49480 СОЛЬ</v>
      </c>
      <c r="AD225" t="str">
        <f ca="1">IFERROR(__xludf.DUMMYFUNCTION("""COMPUTED_VALUE"""),"20.02.21 11-40")</f>
        <v>20.02.21 11-40</v>
      </c>
      <c r="AE225" t="str">
        <f ca="1">IFERROR(__xludf.DUMMYFUNCTION("""COMPUTED_VALUE"""),"563")</f>
        <v>563</v>
      </c>
      <c r="AF225" t="str">
        <f ca="1">IFERROR(__xludf.DUMMYFUNCTION("""COMPUTED_VALUE"""),"48 ДОН")</f>
        <v>48 ДОН</v>
      </c>
      <c r="AG225" t="str">
        <f ca="1">IFERROR(__xludf.DUMMYFUNCTION("""COMPUTED_VALUE"""),"49480 СОЛЬ")</f>
        <v>49480 СОЛЬ</v>
      </c>
      <c r="AH225" t="str">
        <f ca="1">IFERROR(__xludf.DUMMYFUNCTION("""COMPUTED_VALUE"""),"27.02.21 13-00")</f>
        <v>27.02.21 13-00</v>
      </c>
      <c r="AI225" s="21">
        <f ca="1">IFERROR(__xludf.DUMMYFUNCTION("""COMPUTED_VALUE"""),44420.3576736111)</f>
        <v>44420.357673611099</v>
      </c>
    </row>
    <row r="226" spans="1:35" ht="13" x14ac:dyDescent="0.15">
      <c r="A226">
        <f ca="1">IFERROR(__xludf.DUMMYFUNCTION("""COMPUTED_VALUE"""),852)</f>
        <v>852</v>
      </c>
      <c r="B226" t="str">
        <f ca="1">IFERROR(__xludf.DUMMYFUNCTION("""COMPUTED_VALUE"""),"Кнауф")</f>
        <v>Кнауф</v>
      </c>
      <c r="C226" t="str">
        <f ca="1">IFERROR(__xludf.DUMMYFUNCTION("""COMPUTED_VALUE"""),"ТЕГРА")</f>
        <v>ТЕГРА</v>
      </c>
      <c r="D226">
        <f ca="1">IFERROR(__xludf.DUMMYFUNCTION("""COMPUTED_VALUE"""),24405334)</f>
        <v>24405334</v>
      </c>
      <c r="E226" t="str">
        <f ca="1">IFERROR(__xludf.DUMMYFUNCTION("""COMPUTED_VALUE"""),"20 КРЫТЫЕ")</f>
        <v>20 КРЫТЫЕ</v>
      </c>
      <c r="F226">
        <f ca="1">IFERROR(__xludf.DUMMYFUNCTION("""COMPUTED_VALUE"""),42103)</f>
        <v>42103</v>
      </c>
      <c r="G226" t="str">
        <f ca="1">IFERROR(__xludf.DUMMYFUNCTION("""COMPUTED_VALUE"""),"ВАГОНЫ ЖД СВ")</f>
        <v>ВАГОНЫ ЖД СВ</v>
      </c>
      <c r="H226">
        <f ca="1">IFERROR(__xludf.DUMMYFUNCTION("""COMPUTED_VALUE"""),0)</f>
        <v>0</v>
      </c>
      <c r="I226">
        <f ca="1">IFERROR(__xludf.DUMMYFUNCTION("""COMPUTED_VALUE"""),4149)</f>
        <v>4149</v>
      </c>
      <c r="J226" t="str">
        <f ca="1">IFERROR(__xludf.DUMMYFUNCTION("""COMPUTED_VALUE"""),"3804 (49640-065-49620)  - ДЕКОНСКАЯ")</f>
        <v>3804 (49640-065-49620)  - ДЕКОНСКАЯ</v>
      </c>
      <c r="K226">
        <f ca="1">IFERROR(__xludf.DUMMYFUNCTION("""COMPUTED_VALUE"""),49620)</f>
        <v>49620</v>
      </c>
      <c r="L226" t="str">
        <f ca="1">IFERROR(__xludf.DUMMYFUNCTION("""COMPUTED_VALUE"""),"ДЕКОНСКАЯ")</f>
        <v>ДЕКОНСКАЯ</v>
      </c>
      <c r="M226" t="str">
        <f ca="1">IFERROR(__xludf.DUMMYFUNCTION("""COMPUTED_VALUE"""),"09.08.21 21-00")</f>
        <v>09.08.21 21-00</v>
      </c>
      <c r="N226" t="str">
        <f ca="1">IFERROR(__xludf.DUMMYFUNCTION("""COMPUTED_VALUE"""),"98 ОТОТ")</f>
        <v>98 ОТОТ</v>
      </c>
      <c r="O226">
        <f ca="1">IFERROR(__xludf.DUMMYFUNCTION("""COMPUTED_VALUE"""),49620)</f>
        <v>49620</v>
      </c>
      <c r="P226" t="str">
        <f ca="1">IFERROR(__xludf.DUMMYFUNCTION("""COMPUTED_VALUE"""),"ДЕКОНСКАЯ")</f>
        <v>ДЕКОНСКАЯ</v>
      </c>
      <c r="Q226">
        <f ca="1">IFERROR(__xludf.DUMMYFUNCTION("""COMPUTED_VALUE"""),44050)</f>
        <v>44050</v>
      </c>
      <c r="R226" t="str">
        <f ca="1">IFERROR(__xludf.DUMMYFUNCTION("""COMPUTED_VALUE"""),"ХАРЬКОВ-БАЛ")</f>
        <v>ХАРЬКОВ-БАЛ</v>
      </c>
      <c r="S226" t="str">
        <f ca="1">IFERROR(__xludf.DUMMYFUNCTION("""COMPUTED_VALUE"""),"03.08.21 19-00")</f>
        <v>03.08.21 19-00</v>
      </c>
      <c r="T226">
        <f ca="1">IFERROR(__xludf.DUMMYFUNCTION("""COMPUTED_VALUE"""),1494)</f>
        <v>1494</v>
      </c>
      <c r="U226" t="str">
        <f ca="1">IFERROR(__xludf.DUMMYFUNCTION("""COMPUTED_VALUE"""),"14.12.2022 ДР")</f>
        <v>14.12.2022 ДР</v>
      </c>
      <c r="Z226" t="str">
        <f ca="1">IFERROR(__xludf.DUMMYFUNCTION("""COMPUTED_VALUE"""),"ООО «ТЕГРА ЛОДЖИСТИКС»")</f>
        <v>ООО «ТЕГРА ЛОДЖИСТИКС»</v>
      </c>
      <c r="AA226" t="str">
        <f ca="1">IFERROR(__xludf.DUMMYFUNCTION("""COMPUTED_VALUE"""),"11-270")</f>
        <v>11-270</v>
      </c>
      <c r="AB226" t="str">
        <f ca="1">IFERROR(__xludf.DUMMYFUNCTION("""COMPUTED_VALUE"""),"43 ЮЖН")</f>
        <v>43 ЮЖН</v>
      </c>
      <c r="AC226" t="str">
        <f ca="1">IFERROR(__xludf.DUMMYFUNCTION("""COMPUTED_VALUE"""),"44020 ОСНОВА")</f>
        <v>44020 ОСНОВА</v>
      </c>
      <c r="AD226" t="str">
        <f ca="1">IFERROR(__xludf.DUMMYFUNCTION("""COMPUTED_VALUE"""),"12.12.20 05-47")</f>
        <v>12.12.20 05-47</v>
      </c>
      <c r="AE226" t="str">
        <f ca="1">IFERROR(__xludf.DUMMYFUNCTION("""COMPUTED_VALUE"""),"537 НEИCПPAВНOCТЬ ЗAПOPA ДВEPИ")</f>
        <v>537 НEИCПPAВНOCТЬ ЗAПOPA ДВEPИ</v>
      </c>
      <c r="AF226" t="str">
        <f ca="1">IFERROR(__xludf.DUMMYFUNCTION("""COMPUTED_VALUE"""),"43 ЮЖН")</f>
        <v>43 ЮЖН</v>
      </c>
      <c r="AG226" t="str">
        <f ca="1">IFERROR(__xludf.DUMMYFUNCTION("""COMPUTED_VALUE"""),"44020 ОСНОВА")</f>
        <v>44020 ОСНОВА</v>
      </c>
      <c r="AH226" t="str">
        <f ca="1">IFERROR(__xludf.DUMMYFUNCTION("""COMPUTED_VALUE"""),"15.12.20 17-00")</f>
        <v>15.12.20 17-00</v>
      </c>
      <c r="AI226" s="21">
        <f ca="1">IFERROR(__xludf.DUMMYFUNCTION("""COMPUTED_VALUE"""),44420.357662037)</f>
        <v>44420.357662037</v>
      </c>
    </row>
    <row r="227" spans="1:35" ht="13" x14ac:dyDescent="0.15">
      <c r="A227">
        <f ca="1">IFERROR(__xludf.DUMMYFUNCTION("""COMPUTED_VALUE"""),853)</f>
        <v>853</v>
      </c>
      <c r="B227" t="str">
        <f ca="1">IFERROR(__xludf.DUMMYFUNCTION("""COMPUTED_VALUE"""),"Кнауф")</f>
        <v>Кнауф</v>
      </c>
      <c r="C227" t="str">
        <f ca="1">IFERROR(__xludf.DUMMYFUNCTION("""COMPUTED_VALUE"""),"ТЕГРА")</f>
        <v>ТЕГРА</v>
      </c>
      <c r="D227">
        <f ca="1">IFERROR(__xludf.DUMMYFUNCTION("""COMPUTED_VALUE"""),24201451)</f>
        <v>24201451</v>
      </c>
      <c r="E227" t="str">
        <f ca="1">IFERROR(__xludf.DUMMYFUNCTION("""COMPUTED_VALUE"""),"20 КРЫТЫЕ")</f>
        <v>20 КРЫТЫЕ</v>
      </c>
      <c r="F227">
        <f ca="1">IFERROR(__xludf.DUMMYFUNCTION("""COMPUTED_VALUE"""),23304)</f>
        <v>23304</v>
      </c>
      <c r="G227" t="str">
        <f ca="1">IFERROR(__xludf.DUMMYFUNCTION("""COMPUTED_VALUE"""),"ГИПС ПР")</f>
        <v>ГИПС ПР</v>
      </c>
      <c r="H227">
        <f ca="1">IFERROR(__xludf.DUMMYFUNCTION("""COMPUTED_VALUE"""),65)</f>
        <v>65</v>
      </c>
      <c r="I227">
        <f ca="1">IFERROR(__xludf.DUMMYFUNCTION("""COMPUTED_VALUE"""),8676)</f>
        <v>8676</v>
      </c>
      <c r="J227" t="str">
        <f ca="1">IFERROR(__xludf.DUMMYFUNCTION("""COMPUTED_VALUE"""),"2749 (33000-312-36000) ЖМЕРИНКА - ТЕРНОПОЛЬ")</f>
        <v>2749 (33000-312-36000) ЖМЕРИНКА - ТЕРНОПОЛЬ</v>
      </c>
      <c r="K227">
        <f ca="1">IFERROR(__xludf.DUMMYFUNCTION("""COMPUTED_VALUE"""),36000)</f>
        <v>36000</v>
      </c>
      <c r="L227" t="str">
        <f ca="1">IFERROR(__xludf.DUMMYFUNCTION("""COMPUTED_VALUE"""),"ТЕРНОПОЛЬ")</f>
        <v>ТЕРНОПОЛЬ</v>
      </c>
      <c r="M227" t="str">
        <f ca="1">IFERROR(__xludf.DUMMYFUNCTION("""COMPUTED_VALUE"""),"11.08.21 17-30")</f>
        <v>11.08.21 17-30</v>
      </c>
      <c r="N227" t="str">
        <f ca="1">IFERROR(__xludf.DUMMYFUNCTION("""COMPUTED_VALUE"""),"21 ВЫГ2")</f>
        <v>21 ВЫГ2</v>
      </c>
      <c r="O227">
        <f ca="1">IFERROR(__xludf.DUMMYFUNCTION("""COMPUTED_VALUE"""),36000)</f>
        <v>36000</v>
      </c>
      <c r="P227" t="str">
        <f ca="1">IFERROR(__xludf.DUMMYFUNCTION("""COMPUTED_VALUE"""),"ТЕРНОПОЛЬ")</f>
        <v>ТЕРНОПОЛЬ</v>
      </c>
      <c r="Q227">
        <f ca="1">IFERROR(__xludf.DUMMYFUNCTION("""COMPUTED_VALUE"""),49620)</f>
        <v>49620</v>
      </c>
      <c r="R227" t="str">
        <f ca="1">IFERROR(__xludf.DUMMYFUNCTION("""COMPUTED_VALUE"""),"ДЕКОНСКАЯ")</f>
        <v>ДЕКОНСКАЯ</v>
      </c>
      <c r="S227" t="str">
        <f ca="1">IFERROR(__xludf.DUMMYFUNCTION("""COMPUTED_VALUE"""),"03.08.21 20-30")</f>
        <v>03.08.21 20-30</v>
      </c>
      <c r="U227" t="str">
        <f ca="1">IFERROR(__xludf.DUMMYFUNCTION("""COMPUTED_VALUE"""),"04.12.2022 ДР")</f>
        <v>04.12.2022 ДР</v>
      </c>
      <c r="Z227" t="str">
        <f ca="1">IFERROR(__xludf.DUMMYFUNCTION("""COMPUTED_VALUE"""),"ООО «ТЕГРА ЛОДЖИСТИКС»")</f>
        <v>ООО «ТЕГРА ЛОДЖИСТИКС»</v>
      </c>
      <c r="AA227" t="str">
        <f ca="1">IFERROR(__xludf.DUMMYFUNCTION("""COMPUTED_VALUE"""),"11-217")</f>
        <v>11-217</v>
      </c>
      <c r="AB227" t="str">
        <f ca="1">IFERROR(__xludf.DUMMYFUNCTION("""COMPUTED_VALUE"""),"40 ОД")</f>
        <v>40 ОД</v>
      </c>
      <c r="AC227" t="str">
        <f ca="1">IFERROR(__xludf.DUMMYFUNCTION("""COMPUTED_VALUE"""),"41780 ХЕРСОН")</f>
        <v>41780 ХЕРСОН</v>
      </c>
      <c r="AD227" t="str">
        <f ca="1">IFERROR(__xludf.DUMMYFUNCTION("""COMPUTED_VALUE"""),"30.04.21 02-39")</f>
        <v>30.04.21 02-39</v>
      </c>
      <c r="AE227" t="str">
        <f ca="1">IFERROR(__xludf.DUMMYFUNCTION("""COMPUTED_VALUE"""),"563")</f>
        <v>563</v>
      </c>
      <c r="AF227" t="str">
        <f ca="1">IFERROR(__xludf.DUMMYFUNCTION("""COMPUTED_VALUE"""),"40 ОД")</f>
        <v>40 ОД</v>
      </c>
      <c r="AG227" t="str">
        <f ca="1">IFERROR(__xludf.DUMMYFUNCTION("""COMPUTED_VALUE"""),"41780 ХЕРСОН")</f>
        <v>41780 ХЕРСОН</v>
      </c>
      <c r="AH227" t="str">
        <f ca="1">IFERROR(__xludf.DUMMYFUNCTION("""COMPUTED_VALUE"""),"08.05.21 16-10")</f>
        <v>08.05.21 16-10</v>
      </c>
      <c r="AI227" s="21">
        <f ca="1">IFERROR(__xludf.DUMMYFUNCTION("""COMPUTED_VALUE"""),44420.357662037)</f>
        <v>44420.357662037</v>
      </c>
    </row>
    <row r="228" spans="1:35" ht="13" x14ac:dyDescent="0.15">
      <c r="A228">
        <f ca="1">IFERROR(__xludf.DUMMYFUNCTION("""COMPUTED_VALUE"""),854)</f>
        <v>854</v>
      </c>
      <c r="B228" t="str">
        <f ca="1">IFERROR(__xludf.DUMMYFUNCTION("""COMPUTED_VALUE"""),"Кнауф")</f>
        <v>Кнауф</v>
      </c>
      <c r="C228" t="str">
        <f ca="1">IFERROR(__xludf.DUMMYFUNCTION("""COMPUTED_VALUE"""),"АССТРА РФ")</f>
        <v>АССТРА РФ</v>
      </c>
      <c r="D228">
        <f ca="1">IFERROR(__xludf.DUMMYFUNCTION("""COMPUTED_VALUE"""),52411063)</f>
        <v>52411063</v>
      </c>
      <c r="E228" t="str">
        <f ca="1">IFERROR(__xludf.DUMMYFUNCTION("""COMPUTED_VALUE"""),"20 КРЫТЫЕ")</f>
        <v>20 КРЫТЫЕ</v>
      </c>
      <c r="F228">
        <f ca="1">IFERROR(__xludf.DUMMYFUNCTION("""COMPUTED_VALUE"""),42119)</f>
        <v>42119</v>
      </c>
      <c r="G228" t="str">
        <f ca="1">IFERROR(__xludf.DUMMYFUNCTION("""COMPUTED_VALUE"""),"ВАГОНЫ ЖД РЕМОН")</f>
        <v>ВАГОНЫ ЖД РЕМОН</v>
      </c>
      <c r="H228">
        <f ca="1">IFERROR(__xludf.DUMMYFUNCTION("""COMPUTED_VALUE"""),0)</f>
        <v>0</v>
      </c>
      <c r="I228">
        <f ca="1">IFERROR(__xludf.DUMMYFUNCTION("""COMPUTED_VALUE"""),1426)</f>
        <v>1426</v>
      </c>
      <c r="J228" t="str">
        <f ca="1">IFERROR(__xludf.DUMMYFUNCTION("""COMPUTED_VALUE"""),"3402 (34350-196-32000) ФАСТОВ I - ДАРНИЦА")</f>
        <v>3402 (34350-196-32000) ФАСТОВ I - ДАРНИЦА</v>
      </c>
      <c r="K228">
        <f ca="1">IFERROR(__xludf.DUMMYFUNCTION("""COMPUTED_VALUE"""),32120)</f>
        <v>32120</v>
      </c>
      <c r="L228" t="str">
        <f ca="1">IFERROR(__xludf.DUMMYFUNCTION("""COMPUTED_VALUE"""),"ВАСИЛЬКОВ I")</f>
        <v>ВАСИЛЬКОВ I</v>
      </c>
      <c r="M228" t="str">
        <f ca="1">IFERROR(__xludf.DUMMYFUNCTION("""COMPUTED_VALUE"""),"11.08.21 11-40")</f>
        <v>11.08.21 11-40</v>
      </c>
      <c r="N228" t="str">
        <f ca="1">IFERROR(__xludf.DUMMYFUNCTION("""COMPUTED_VALUE"""),"91 ПРДР")</f>
        <v>91 ПРДР</v>
      </c>
      <c r="O228">
        <f ca="1">IFERROR(__xludf.DUMMYFUNCTION("""COMPUTED_VALUE"""),33000)</f>
        <v>33000</v>
      </c>
      <c r="P228" t="str">
        <f ca="1">IFERROR(__xludf.DUMMYFUNCTION("""COMPUTED_VALUE"""),"ЖМЕРИНКА")</f>
        <v>ЖМЕРИНКА</v>
      </c>
      <c r="Q228">
        <f ca="1">IFERROR(__xludf.DUMMYFUNCTION("""COMPUTED_VALUE"""),32120)</f>
        <v>32120</v>
      </c>
      <c r="R228" t="str">
        <f ca="1">IFERROR(__xludf.DUMMYFUNCTION("""COMPUTED_VALUE"""),"ВАСИЛЬКОВ I")</f>
        <v>ВАСИЛЬКОВ I</v>
      </c>
      <c r="S228" t="str">
        <f ca="1">IFERROR(__xludf.DUMMYFUNCTION("""COMPUTED_VALUE"""),"10.08.21 16-00")</f>
        <v>10.08.21 16-00</v>
      </c>
      <c r="T228">
        <f ca="1">IFERROR(__xludf.DUMMYFUNCTION("""COMPUTED_VALUE"""),4411)</f>
        <v>4411</v>
      </c>
      <c r="U228" t="str">
        <f ca="1">IFERROR(__xludf.DUMMYFUNCTION("""COMPUTED_VALUE"""),"20.11.2021 КР")</f>
        <v>20.11.2021 КР</v>
      </c>
      <c r="Z228" t="str">
        <f ca="1">IFERROR(__xludf.DUMMYFUNCTION("""COMPUTED_VALUE"""),"ООО «БГС РЕЙЛ»")</f>
        <v>ООО «БГС РЕЙЛ»</v>
      </c>
      <c r="AA228" t="str">
        <f ca="1">IFERROR(__xludf.DUMMYFUNCTION("""COMPUTED_VALUE"""),"11-270")</f>
        <v>11-270</v>
      </c>
      <c r="AB228" t="str">
        <f ca="1">IFERROR(__xludf.DUMMYFUNCTION("""COMPUTED_VALUE"""),"63 КБШ")</f>
        <v>63 КБШ</v>
      </c>
      <c r="AC228" t="str">
        <f ca="1">IFERROR(__xludf.DUMMYFUNCTION("""COMPUTED_VALUE"""),"64820 БИКЛЯНЬ")</f>
        <v>64820 БИКЛЯНЬ</v>
      </c>
      <c r="AD228" t="str">
        <f ca="1">IFERROR(__xludf.DUMMYFUNCTION("""COMPUTED_VALUE"""),"17.04.20 14-53")</f>
        <v>17.04.20 14-53</v>
      </c>
      <c r="AE228" t="str">
        <f ca="1">IFERROR(__xludf.DUMMYFUNCTION("""COMPUTED_VALUE"""),"220 НECOOТВEТCТВИE ЗAЗОРОВ CКOЛЬЗУНA")</f>
        <v>220 НECOOТВEТCТВИE ЗAЗОРОВ CКOЛЬЗУНA</v>
      </c>
      <c r="AF228" t="str">
        <f ca="1">IFERROR(__xludf.DUMMYFUNCTION("""COMPUTED_VALUE"""),"63 КБШ")</f>
        <v>63 КБШ</v>
      </c>
      <c r="AG228" t="str">
        <f ca="1">IFERROR(__xludf.DUMMYFUNCTION("""COMPUTED_VALUE"""),"64820 БИКЛЯНЬ")</f>
        <v>64820 БИКЛЯНЬ</v>
      </c>
      <c r="AH228" t="str">
        <f ca="1">IFERROR(__xludf.DUMMYFUNCTION("""COMPUTED_VALUE"""),"17.04.20 15-25")</f>
        <v>17.04.20 15-25</v>
      </c>
      <c r="AI228" s="21">
        <f ca="1">IFERROR(__xludf.DUMMYFUNCTION("""COMPUTED_VALUE"""),44420.357662037)</f>
        <v>44420.357662037</v>
      </c>
    </row>
    <row r="229" spans="1:35" ht="13" x14ac:dyDescent="0.15">
      <c r="A229">
        <f ca="1">IFERROR(__xludf.DUMMYFUNCTION("""COMPUTED_VALUE"""),895)</f>
        <v>895</v>
      </c>
      <c r="B229" t="str">
        <f ca="1">IFERROR(__xludf.DUMMYFUNCTION("""COMPUTED_VALUE"""),"Кнауф")</f>
        <v>Кнауф</v>
      </c>
      <c r="C229" t="str">
        <f ca="1">IFERROR(__xludf.DUMMYFUNCTION("""COMPUTED_VALUE"""),"АССТРА ")</f>
        <v xml:space="preserve">АССТРА </v>
      </c>
      <c r="D229">
        <f ca="1">IFERROR(__xludf.DUMMYFUNCTION("""COMPUTED_VALUE"""),52539293)</f>
        <v>52539293</v>
      </c>
      <c r="E229" t="str">
        <f ca="1">IFERROR(__xludf.DUMMYFUNCTION("""COMPUTED_VALUE"""),"20 КРЫТЫЕ")</f>
        <v>20 КРЫТЫЕ</v>
      </c>
      <c r="F229">
        <f ca="1">IFERROR(__xludf.DUMMYFUNCTION("""COMPUTED_VALUE"""),42103)</f>
        <v>42103</v>
      </c>
      <c r="G229" t="str">
        <f ca="1">IFERROR(__xludf.DUMMYFUNCTION("""COMPUTED_VALUE"""),"ВАГОНЫ ЖД СВ")</f>
        <v>ВАГОНЫ ЖД СВ</v>
      </c>
      <c r="H229">
        <f ca="1">IFERROR(__xludf.DUMMYFUNCTION("""COMPUTED_VALUE"""),0)</f>
        <v>0</v>
      </c>
      <c r="I229">
        <f ca="1">IFERROR(__xludf.DUMMYFUNCTION("""COMPUTED_VALUE"""),4149)</f>
        <v>4149</v>
      </c>
      <c r="J229" t="str">
        <f ca="1">IFERROR(__xludf.DUMMYFUNCTION("""COMPUTED_VALUE"""),"3804 (49640-065-49620)  - ДЕКОНСКАЯ")</f>
        <v>3804 (49640-065-49620)  - ДЕКОНСКАЯ</v>
      </c>
      <c r="K229">
        <f ca="1">IFERROR(__xludf.DUMMYFUNCTION("""COMPUTED_VALUE"""),49620)</f>
        <v>49620</v>
      </c>
      <c r="L229" t="str">
        <f ca="1">IFERROR(__xludf.DUMMYFUNCTION("""COMPUTED_VALUE"""),"ДЕКОНСКАЯ")</f>
        <v>ДЕКОНСКАЯ</v>
      </c>
      <c r="M229" t="str">
        <f ca="1">IFERROR(__xludf.DUMMYFUNCTION("""COMPUTED_VALUE"""),"09.08.21 21-00")</f>
        <v>09.08.21 21-00</v>
      </c>
      <c r="N229" t="str">
        <f ca="1">IFERROR(__xludf.DUMMYFUNCTION("""COMPUTED_VALUE"""),"98 ОТОТ")</f>
        <v>98 ОТОТ</v>
      </c>
      <c r="O229">
        <f ca="1">IFERROR(__xludf.DUMMYFUNCTION("""COMPUTED_VALUE"""),49620)</f>
        <v>49620</v>
      </c>
      <c r="P229" t="str">
        <f ca="1">IFERROR(__xludf.DUMMYFUNCTION("""COMPUTED_VALUE"""),"ДЕКОНСКАЯ")</f>
        <v>ДЕКОНСКАЯ</v>
      </c>
      <c r="Q229">
        <f ca="1">IFERROR(__xludf.DUMMYFUNCTION("""COMPUTED_VALUE"""),44050)</f>
        <v>44050</v>
      </c>
      <c r="R229" t="str">
        <f ca="1">IFERROR(__xludf.DUMMYFUNCTION("""COMPUTED_VALUE"""),"ХАРЬКОВ-БАЛ")</f>
        <v>ХАРЬКОВ-БАЛ</v>
      </c>
      <c r="S229" t="str">
        <f ca="1">IFERROR(__xludf.DUMMYFUNCTION("""COMPUTED_VALUE"""),"03.08.21 19-00")</f>
        <v>03.08.21 19-00</v>
      </c>
      <c r="T229">
        <f ca="1">IFERROR(__xludf.DUMMYFUNCTION("""COMPUTED_VALUE"""),1494)</f>
        <v>1494</v>
      </c>
      <c r="U229" t="str">
        <f ca="1">IFERROR(__xludf.DUMMYFUNCTION("""COMPUTED_VALUE"""),"12.10.2022 ДР")</f>
        <v>12.10.2022 ДР</v>
      </c>
      <c r="Z229" t="str">
        <f ca="1">IFERROR(__xludf.DUMMYFUNCTION("""COMPUTED_VALUE"""),"ООО «БГС РЕЙЛ»")</f>
        <v>ООО «БГС РЕЙЛ»</v>
      </c>
      <c r="AA229" t="str">
        <f ca="1">IFERROR(__xludf.DUMMYFUNCTION("""COMPUTED_VALUE"""),"11-276")</f>
        <v>11-276</v>
      </c>
      <c r="AB229" t="str">
        <f ca="1">IFERROR(__xludf.DUMMYFUNCTION("""COMPUTED_VALUE"""),"48 ДОН")</f>
        <v>48 ДОН</v>
      </c>
      <c r="AC229" t="str">
        <f ca="1">IFERROR(__xludf.DUMMYFUNCTION("""COMPUTED_VALUE"""),"49480 СОЛЬ")</f>
        <v>49480 СОЛЬ</v>
      </c>
      <c r="AD229" t="str">
        <f ca="1">IFERROR(__xludf.DUMMYFUNCTION("""COMPUTED_VALUE"""),"02.09.20 05-30")</f>
        <v>02.09.20 05-30</v>
      </c>
      <c r="AE229" t="str">
        <f ca="1">IFERROR(__xludf.DUMMYFUNCTION("""COMPUTED_VALUE"""),"445 ЗAВAP БAШМAКA")</f>
        <v>445 ЗAВAP БAШМAКA</v>
      </c>
      <c r="AF229" t="str">
        <f ca="1">IFERROR(__xludf.DUMMYFUNCTION("""COMPUTED_VALUE"""),"48 ДОН")</f>
        <v>48 ДОН</v>
      </c>
      <c r="AG229" t="str">
        <f ca="1">IFERROR(__xludf.DUMMYFUNCTION("""COMPUTED_VALUE"""),"49480 СОЛЬ")</f>
        <v>49480 СОЛЬ</v>
      </c>
      <c r="AH229" t="str">
        <f ca="1">IFERROR(__xludf.DUMMYFUNCTION("""COMPUTED_VALUE"""),"03.09.20 12-30")</f>
        <v>03.09.20 12-30</v>
      </c>
      <c r="AI229" s="21">
        <f ca="1">IFERROR(__xludf.DUMMYFUNCTION("""COMPUTED_VALUE"""),44420.357662037)</f>
        <v>44420.357662037</v>
      </c>
    </row>
    <row r="230" spans="1:35" ht="13" x14ac:dyDescent="0.15">
      <c r="A230">
        <f ca="1">IFERROR(__xludf.DUMMYFUNCTION("""COMPUTED_VALUE"""),1091)</f>
        <v>1091</v>
      </c>
      <c r="B230" t="str">
        <f ca="1">IFERROR(__xludf.DUMMYFUNCTION("""COMPUTED_VALUE"""),"Кнауф")</f>
        <v>Кнауф</v>
      </c>
      <c r="C230" t="str">
        <f ca="1">IFERROR(__xludf.DUMMYFUNCTION("""COMPUTED_VALUE"""),"Экспансия")</f>
        <v>Экспансия</v>
      </c>
      <c r="D230">
        <f ca="1">IFERROR(__xludf.DUMMYFUNCTION("""COMPUTED_VALUE"""),52677911)</f>
        <v>52677911</v>
      </c>
      <c r="E230" t="str">
        <f ca="1">IFERROR(__xludf.DUMMYFUNCTION("""COMPUTED_VALUE"""),"28 КРЫТЫЕ_138")</f>
        <v>28 КРЫТЫЕ_138</v>
      </c>
      <c r="F230">
        <f ca="1">IFERROR(__xludf.DUMMYFUNCTION("""COMPUTED_VALUE"""),42103)</f>
        <v>42103</v>
      </c>
      <c r="G230" t="str">
        <f ca="1">IFERROR(__xludf.DUMMYFUNCTION("""COMPUTED_VALUE"""),"ВАГОНЫ ЖД СВ")</f>
        <v>ВАГОНЫ ЖД СВ</v>
      </c>
      <c r="H230">
        <f ca="1">IFERROR(__xludf.DUMMYFUNCTION("""COMPUTED_VALUE"""),0)</f>
        <v>0</v>
      </c>
      <c r="I230">
        <f ca="1">IFERROR(__xludf.DUMMYFUNCTION("""COMPUTED_VALUE"""),4149)</f>
        <v>4149</v>
      </c>
      <c r="J230" t="str">
        <f ca="1">IFERROR(__xludf.DUMMYFUNCTION("""COMPUTED_VALUE"""),"3802 (49460-047-49640) БАХМУТ -")</f>
        <v>3802 (49460-047-49640) БАХМУТ -</v>
      </c>
      <c r="K230">
        <f ca="1">IFERROR(__xludf.DUMMYFUNCTION("""COMPUTED_VALUE"""),49620)</f>
        <v>49620</v>
      </c>
      <c r="L230" t="str">
        <f ca="1">IFERROR(__xludf.DUMMYFUNCTION("""COMPUTED_VALUE"""),"ДЕКОНСКАЯ")</f>
        <v>ДЕКОНСКАЯ</v>
      </c>
      <c r="M230" t="str">
        <f ca="1">IFERROR(__xludf.DUMMYFUNCTION("""COMPUTED_VALUE"""),"12.08.21 04-36")</f>
        <v>12.08.21 04-36</v>
      </c>
      <c r="N230" t="str">
        <f ca="1">IFERROR(__xludf.DUMMYFUNCTION("""COMPUTED_VALUE"""),"04 РАСФ")</f>
        <v>04 РАСФ</v>
      </c>
      <c r="O230">
        <f ca="1">IFERROR(__xludf.DUMMYFUNCTION("""COMPUTED_VALUE"""),49620)</f>
        <v>49620</v>
      </c>
      <c r="P230" t="str">
        <f ca="1">IFERROR(__xludf.DUMMYFUNCTION("""COMPUTED_VALUE"""),"ДЕКОНСКАЯ")</f>
        <v>ДЕКОНСКАЯ</v>
      </c>
      <c r="Q230">
        <f ca="1">IFERROR(__xludf.DUMMYFUNCTION("""COMPUTED_VALUE"""),44000)</f>
        <v>44000</v>
      </c>
      <c r="R230" t="str">
        <f ca="1">IFERROR(__xludf.DUMMYFUNCTION("""COMPUTED_VALUE"""),"ХАРЬКОВ-СОРТ")</f>
        <v>ХАРЬКОВ-СОРТ</v>
      </c>
      <c r="S230" t="str">
        <f ca="1">IFERROR(__xludf.DUMMYFUNCTION("""COMPUTED_VALUE"""),"07.08.21 17-00")</f>
        <v>07.08.21 17-00</v>
      </c>
      <c r="T230">
        <f ca="1">IFERROR(__xludf.DUMMYFUNCTION("""COMPUTED_VALUE"""),4385)</f>
        <v>4385</v>
      </c>
      <c r="U230" t="str">
        <f ca="1">IFERROR(__xludf.DUMMYFUNCTION("""COMPUTED_VALUE"""),"31.07.2022 КР")</f>
        <v>31.07.2022 КР</v>
      </c>
      <c r="Z230" t="str">
        <f ca="1">IFERROR(__xludf.DUMMYFUNCTION("""COMPUTED_VALUE"""),"ООО ""НПП ""МК-ЭКСПАНСИЯ""")</f>
        <v>ООО "НПП "МК-ЭКСПАНСИЯ"</v>
      </c>
      <c r="AA230" t="str">
        <f ca="1">IFERROR(__xludf.DUMMYFUNCTION("""COMPUTED_VALUE"""),"11-260")</f>
        <v>11-260</v>
      </c>
      <c r="AB230" t="str">
        <f ca="1">IFERROR(__xludf.DUMMYFUNCTION("""COMPUTED_VALUE"""),"32 Ю-ЗАП")</f>
        <v>32 Ю-ЗАП</v>
      </c>
      <c r="AC230" t="str">
        <f ca="1">IFERROR(__xludf.DUMMYFUNCTION("""COMPUTED_VALUE"""),"34630 КОРОСТЕНЬ")</f>
        <v>34630 КОРОСТЕНЬ</v>
      </c>
      <c r="AD230" t="str">
        <f ca="1">IFERROR(__xludf.DUMMYFUNCTION("""COMPUTED_VALUE"""),"09.07.19 08-10")</f>
        <v>09.07.19 08-10</v>
      </c>
      <c r="AE230" t="str">
        <f ca="1">IFERROR(__xludf.DUMMYFUNCTION("""COMPUTED_VALUE"""),"570 ИCТEК КAЛЕНДАРНЫЙ CPOК ДEПOВCКОГО PEМOНТA")</f>
        <v>570 ИCТEК КAЛЕНДАРНЫЙ CPOК ДEПOВCКОГО PEМOНТA</v>
      </c>
      <c r="AF230" t="str">
        <f ca="1">IFERROR(__xludf.DUMMYFUNCTION("""COMPUTED_VALUE"""),"32 Ю-ЗАП")</f>
        <v>32 Ю-ЗАП</v>
      </c>
      <c r="AG230" t="str">
        <f ca="1">IFERROR(__xludf.DUMMYFUNCTION("""COMPUTED_VALUE"""),"34630 КОРОСТЕНЬ")</f>
        <v>34630 КОРОСТЕНЬ</v>
      </c>
      <c r="AH230" t="str">
        <f ca="1">IFERROR(__xludf.DUMMYFUNCTION("""COMPUTED_VALUE"""),"31.07.19 11-30")</f>
        <v>31.07.19 11-30</v>
      </c>
      <c r="AI230" s="21">
        <f ca="1">IFERROR(__xludf.DUMMYFUNCTION("""COMPUTED_VALUE"""),44420.357662037)</f>
        <v>44420.357662037</v>
      </c>
    </row>
    <row r="231" spans="1:35" ht="13" x14ac:dyDescent="0.15">
      <c r="A231">
        <f ca="1">IFERROR(__xludf.DUMMYFUNCTION("""COMPUTED_VALUE"""),1092)</f>
        <v>1092</v>
      </c>
      <c r="B231" t="str">
        <f ca="1">IFERROR(__xludf.DUMMYFUNCTION("""COMPUTED_VALUE"""),"Кнауф")</f>
        <v>Кнауф</v>
      </c>
      <c r="C231" t="str">
        <f ca="1">IFERROR(__xludf.DUMMYFUNCTION("""COMPUTED_VALUE"""),"Асстра")</f>
        <v>Асстра</v>
      </c>
      <c r="D231">
        <f ca="1">IFERROR(__xludf.DUMMYFUNCTION("""COMPUTED_VALUE"""),52034642)</f>
        <v>52034642</v>
      </c>
      <c r="E231" t="str">
        <f ca="1">IFERROR(__xludf.DUMMYFUNCTION("""COMPUTED_VALUE"""),"20 КРЫТЫЕ")</f>
        <v>20 КРЫТЫЕ</v>
      </c>
      <c r="F231">
        <f ca="1">IFERROR(__xludf.DUMMYFUNCTION("""COMPUTED_VALUE"""),23304)</f>
        <v>23304</v>
      </c>
      <c r="G231" t="str">
        <f ca="1">IFERROR(__xludf.DUMMYFUNCTION("""COMPUTED_VALUE"""),"ГИПС ПР")</f>
        <v>ГИПС ПР</v>
      </c>
      <c r="H231">
        <f ca="1">IFERROR(__xludf.DUMMYFUNCTION("""COMPUTED_VALUE"""),68)</f>
        <v>68</v>
      </c>
      <c r="I231">
        <f ca="1">IFERROR(__xludf.DUMMYFUNCTION("""COMPUTED_VALUE"""),1658)</f>
        <v>1658</v>
      </c>
      <c r="J231" t="str">
        <f ca="1">IFERROR(__xludf.DUMMYFUNCTION("""COMPUTED_VALUE"""),"5555 (32000-611-00010) ДАРНИЦА -")</f>
        <v>5555 (32000-611-00010) ДАРНИЦА -</v>
      </c>
      <c r="K231">
        <f ca="1">IFERROR(__xludf.DUMMYFUNCTION("""COMPUTED_VALUE"""),32000)</f>
        <v>32000</v>
      </c>
      <c r="L231" t="str">
        <f ca="1">IFERROR(__xludf.DUMMYFUNCTION("""COMPUTED_VALUE"""),"ДАРНИЦА")</f>
        <v>ДАРНИЦА</v>
      </c>
      <c r="M231" t="str">
        <f ca="1">IFERROR(__xludf.DUMMYFUNCTION("""COMPUTED_VALUE"""),"12.08.21 06-06")</f>
        <v>12.08.21 06-06</v>
      </c>
      <c r="N231" t="str">
        <f ca="1">IFERROR(__xludf.DUMMYFUNCTION("""COMPUTED_VALUE"""),"04 РАСФ")</f>
        <v>04 РАСФ</v>
      </c>
      <c r="O231">
        <f ca="1">IFERROR(__xludf.DUMMYFUNCTION("""COMPUTED_VALUE"""),32060)</f>
        <v>32060</v>
      </c>
      <c r="P231" t="str">
        <f ca="1">IFERROR(__xludf.DUMMYFUNCTION("""COMPUTED_VALUE"""),"ПОЧАЙНА")</f>
        <v>ПОЧАЙНА</v>
      </c>
      <c r="Q231">
        <f ca="1">IFERROR(__xludf.DUMMYFUNCTION("""COMPUTED_VALUE"""),49620)</f>
        <v>49620</v>
      </c>
      <c r="R231" t="str">
        <f ca="1">IFERROR(__xludf.DUMMYFUNCTION("""COMPUTED_VALUE"""),"ДЕКОНСКАЯ")</f>
        <v>ДЕКОНСКАЯ</v>
      </c>
      <c r="S231" t="str">
        <f ca="1">IFERROR(__xludf.DUMMYFUNCTION("""COMPUTED_VALUE"""),"07.08.21 09-00")</f>
        <v>07.08.21 09-00</v>
      </c>
      <c r="T231">
        <f ca="1">IFERROR(__xludf.DUMMYFUNCTION("""COMPUTED_VALUE"""),4149)</f>
        <v>4149</v>
      </c>
      <c r="U231" t="str">
        <f ca="1">IFERROR(__xludf.DUMMYFUNCTION("""COMPUTED_VALUE"""),"02.10.2023 ДР")</f>
        <v>02.10.2023 ДР</v>
      </c>
      <c r="Z231" t="str">
        <f ca="1">IFERROR(__xludf.DUMMYFUNCTION("""COMPUTED_VALUE"""),"ООО «БГС РЕЙЛ»")</f>
        <v>ООО «БГС РЕЙЛ»</v>
      </c>
      <c r="AA231" t="str">
        <f ca="1">IFERROR(__xludf.DUMMYFUNCTION("""COMPUTED_VALUE"""),"11-276")</f>
        <v>11-276</v>
      </c>
      <c r="AB231" t="str">
        <f ca="1">IFERROR(__xludf.DUMMYFUNCTION("""COMPUTED_VALUE"""),"32 Ю-ЗАП")</f>
        <v>32 Ю-ЗАП</v>
      </c>
      <c r="AC231" t="str">
        <f ca="1">IFERROR(__xludf.DUMMYFUNCTION("""COMPUTED_VALUE"""),"33000 ЖМЕРИНКА")</f>
        <v>33000 ЖМЕРИНКА</v>
      </c>
      <c r="AD231" t="str">
        <f ca="1">IFERROR(__xludf.DUMMYFUNCTION("""COMPUTED_VALUE"""),"18.09.20 09-40")</f>
        <v>18.09.20 09-40</v>
      </c>
      <c r="AE231" t="str">
        <f ca="1">IFERROR(__xludf.DUMMYFUNCTION("""COMPUTED_VALUE"""),"571 ИCТEК КAЛЕНДАРНЫЙ CPOК КAПИТAЛЬНОГО PEМOНТA")</f>
        <v>571 ИCТEК КAЛЕНДАРНЫЙ CPOК КAПИТAЛЬНОГО PEМOНТA</v>
      </c>
      <c r="AF231" t="str">
        <f ca="1">IFERROR(__xludf.DUMMYFUNCTION("""COMPUTED_VALUE"""),"32 Ю-ЗАП")</f>
        <v>32 Ю-ЗАП</v>
      </c>
      <c r="AG231" t="str">
        <f ca="1">IFERROR(__xludf.DUMMYFUNCTION("""COMPUTED_VALUE"""),"33000 ЖМЕРИНКА")</f>
        <v>33000 ЖМЕРИНКА</v>
      </c>
      <c r="AH231" t="str">
        <f ca="1">IFERROR(__xludf.DUMMYFUNCTION("""COMPUTED_VALUE"""),"02.10.20 10-21")</f>
        <v>02.10.20 10-21</v>
      </c>
      <c r="AI231" s="21">
        <f ca="1">IFERROR(__xludf.DUMMYFUNCTION("""COMPUTED_VALUE"""),44420.357662037)</f>
        <v>44420.357662037</v>
      </c>
    </row>
    <row r="232" spans="1:35" ht="13" x14ac:dyDescent="0.15">
      <c r="A232">
        <f ca="1">IFERROR(__xludf.DUMMYFUNCTION("""COMPUTED_VALUE"""),1093)</f>
        <v>1093</v>
      </c>
      <c r="B232" t="str">
        <f ca="1">IFERROR(__xludf.DUMMYFUNCTION("""COMPUTED_VALUE"""),"Кнауф")</f>
        <v>Кнауф</v>
      </c>
      <c r="C232" t="str">
        <f ca="1">IFERROR(__xludf.DUMMYFUNCTION("""COMPUTED_VALUE"""),"Асстра")</f>
        <v>Асстра</v>
      </c>
      <c r="D232">
        <f ca="1">IFERROR(__xludf.DUMMYFUNCTION("""COMPUTED_VALUE"""),52426145)</f>
        <v>52426145</v>
      </c>
      <c r="E232" t="str">
        <f ca="1">IFERROR(__xludf.DUMMYFUNCTION("""COMPUTED_VALUE"""),"20 КРЫТЫЕ")</f>
        <v>20 КРЫТЫЕ</v>
      </c>
      <c r="F232">
        <f ca="1">IFERROR(__xludf.DUMMYFUNCTION("""COMPUTED_VALUE"""),42103)</f>
        <v>42103</v>
      </c>
      <c r="G232" t="str">
        <f ca="1">IFERROR(__xludf.DUMMYFUNCTION("""COMPUTED_VALUE"""),"ВАГОНЫ ЖД СВ")</f>
        <v>ВАГОНЫ ЖД СВ</v>
      </c>
      <c r="H232">
        <f ca="1">IFERROR(__xludf.DUMMYFUNCTION("""COMPUTED_VALUE"""),0)</f>
        <v>0</v>
      </c>
      <c r="I232">
        <f ca="1">IFERROR(__xludf.DUMMYFUNCTION("""COMPUTED_VALUE"""),8199)</f>
        <v>8199</v>
      </c>
      <c r="J232" t="str">
        <f ca="1">IFERROR(__xludf.DUMMYFUNCTION("""COMPUTED_VALUE"""),"1111 (38840-016-38830) ИВАНО-ФРАНК - ЯМНИЦА")</f>
        <v>1111 (38840-016-38830) ИВАНО-ФРАНК - ЯМНИЦА</v>
      </c>
      <c r="K232">
        <f ca="1">IFERROR(__xludf.DUMMYFUNCTION("""COMPUTED_VALUE"""),38830)</f>
        <v>38830</v>
      </c>
      <c r="L232" t="str">
        <f ca="1">IFERROR(__xludf.DUMMYFUNCTION("""COMPUTED_VALUE"""),"ЯМНИЦА")</f>
        <v>ЯМНИЦА</v>
      </c>
      <c r="M232" t="str">
        <f ca="1">IFERROR(__xludf.DUMMYFUNCTION("""COMPUTED_VALUE"""),"11.08.21 04-00")</f>
        <v>11.08.21 04-00</v>
      </c>
      <c r="N232" t="str">
        <f ca="1">IFERROR(__xludf.DUMMYFUNCTION("""COMPUTED_VALUE"""),"98 ОТОТ")</f>
        <v>98 ОТОТ</v>
      </c>
      <c r="O232">
        <f ca="1">IFERROR(__xludf.DUMMYFUNCTION("""COMPUTED_VALUE"""),38830)</f>
        <v>38830</v>
      </c>
      <c r="P232" t="str">
        <f ca="1">IFERROR(__xludf.DUMMYFUNCTION("""COMPUTED_VALUE"""),"ЯМНИЦА")</f>
        <v>ЯМНИЦА</v>
      </c>
      <c r="Q232">
        <f ca="1">IFERROR(__xludf.DUMMYFUNCTION("""COMPUTED_VALUE"""),38840)</f>
        <v>38840</v>
      </c>
      <c r="R232" t="str">
        <f ca="1">IFERROR(__xludf.DUMMYFUNCTION("""COMPUTED_VALUE"""),"ИВАНО-ФРАНК")</f>
        <v>ИВАНО-ФРАНК</v>
      </c>
      <c r="S232" t="str">
        <f ca="1">IFERROR(__xludf.DUMMYFUNCTION("""COMPUTED_VALUE"""),"08.08.21 16-00")</f>
        <v>08.08.21 16-00</v>
      </c>
      <c r="T232">
        <f ca="1">IFERROR(__xludf.DUMMYFUNCTION("""COMPUTED_VALUE"""),8200)</f>
        <v>8200</v>
      </c>
      <c r="U232" t="str">
        <f ca="1">IFERROR(__xludf.DUMMYFUNCTION("""COMPUTED_VALUE"""),"01.09.2023 ТР-1")</f>
        <v>01.09.2023 ТР-1</v>
      </c>
      <c r="Z232" t="str">
        <f ca="1">IFERROR(__xludf.DUMMYFUNCTION("""COMPUTED_VALUE"""),"ООО «БГС РЕЙЛ»")</f>
        <v>ООО «БГС РЕЙЛ»</v>
      </c>
      <c r="AA232" t="str">
        <f ca="1">IFERROR(__xludf.DUMMYFUNCTION("""COMPUTED_VALUE"""),"11-270")</f>
        <v>11-270</v>
      </c>
      <c r="AB232" t="str">
        <f ca="1">IFERROR(__xludf.DUMMYFUNCTION("""COMPUTED_VALUE"""),"32 Ю-ЗАП")</f>
        <v>32 Ю-ЗАП</v>
      </c>
      <c r="AC232" t="str">
        <f ca="1">IFERROR(__xludf.DUMMYFUNCTION("""COMPUTED_VALUE"""),"33000 ЖМЕРИНКА")</f>
        <v>33000 ЖМЕРИНКА</v>
      </c>
      <c r="AD232" t="str">
        <f ca="1">IFERROR(__xludf.DUMMYFUNCTION("""COMPUTED_VALUE"""),"27.09.20 09-46")</f>
        <v>27.09.20 09-46</v>
      </c>
      <c r="AE232" t="str">
        <f ca="1">IFERROR(__xludf.DUMMYFUNCTION("""COMPUTED_VALUE"""),"570 ИCТEК КAЛЕНДАРНЫЙ CPOК ДEПOВCКОГО PEМOНТA")</f>
        <v>570 ИCТEК КAЛЕНДАРНЫЙ CPOК ДEПOВCКОГО PEМOНТA</v>
      </c>
      <c r="AF232" t="str">
        <f ca="1">IFERROR(__xludf.DUMMYFUNCTION("""COMPUTED_VALUE"""),"32 Ю-ЗАП")</f>
        <v>32 Ю-ЗАП</v>
      </c>
      <c r="AG232" t="str">
        <f ca="1">IFERROR(__xludf.DUMMYFUNCTION("""COMPUTED_VALUE"""),"33000 ЖМЕРИНКА")</f>
        <v>33000 ЖМЕРИНКА</v>
      </c>
      <c r="AH232" t="str">
        <f ca="1">IFERROR(__xludf.DUMMYFUNCTION("""COMPUTED_VALUE"""),"03.10.20 10-47")</f>
        <v>03.10.20 10-47</v>
      </c>
      <c r="AI232" s="21">
        <f ca="1">IFERROR(__xludf.DUMMYFUNCTION("""COMPUTED_VALUE"""),44420.357662037)</f>
        <v>44420.357662037</v>
      </c>
    </row>
    <row r="233" spans="1:35" ht="13" x14ac:dyDescent="0.15">
      <c r="A233">
        <f ca="1">IFERROR(__xludf.DUMMYFUNCTION("""COMPUTED_VALUE"""),1124)</f>
        <v>1124</v>
      </c>
      <c r="B233" t="str">
        <f ca="1">IFERROR(__xludf.DUMMYFUNCTION("""COMPUTED_VALUE"""),"Кнауф")</f>
        <v>Кнауф</v>
      </c>
      <c r="C233" t="str">
        <f ca="1">IFERROR(__xludf.DUMMYFUNCTION("""COMPUTED_VALUE"""),"Керрилайн")</f>
        <v>Керрилайн</v>
      </c>
      <c r="D233">
        <f ca="1">IFERROR(__xludf.DUMMYFUNCTION("""COMPUTED_VALUE"""),24436636)</f>
        <v>24436636</v>
      </c>
      <c r="E233" t="str">
        <f ca="1">IFERROR(__xludf.DUMMYFUNCTION("""COMPUTED_VALUE"""),"20 КРЫТЫЕ")</f>
        <v>20 КРЫТЫЕ</v>
      </c>
      <c r="F233">
        <f ca="1">IFERROR(__xludf.DUMMYFUNCTION("""COMPUTED_VALUE"""),23304)</f>
        <v>23304</v>
      </c>
      <c r="G233" t="str">
        <f ca="1">IFERROR(__xludf.DUMMYFUNCTION("""COMPUTED_VALUE"""),"ГИПС ПР")</f>
        <v>ГИПС ПР</v>
      </c>
      <c r="H233">
        <f ca="1">IFERROR(__xludf.DUMMYFUNCTION("""COMPUTED_VALUE"""),66)</f>
        <v>66</v>
      </c>
      <c r="I233">
        <f ca="1">IFERROR(__xludf.DUMMYFUNCTION("""COMPUTED_VALUE"""),2765)</f>
        <v>2765</v>
      </c>
      <c r="J233" t="str">
        <f ca="1">IFERROR(__xludf.DUMMYFUNCTION("""COMPUTED_VALUE"""),"4831 (49640-037-49460)  - БАХМУТ")</f>
        <v>4831 (49640-037-49460)  - БАХМУТ</v>
      </c>
      <c r="K233">
        <f ca="1">IFERROR(__xludf.DUMMYFUNCTION("""COMPUTED_VALUE"""),49460)</f>
        <v>49460</v>
      </c>
      <c r="L233" t="str">
        <f ca="1">IFERROR(__xludf.DUMMYFUNCTION("""COMPUTED_VALUE"""),"БАХМУТ")</f>
        <v>БАХМУТ</v>
      </c>
      <c r="M233" t="str">
        <f ca="1">IFERROR(__xludf.DUMMYFUNCTION("""COMPUTED_VALUE"""),"12.08.21 07-00")</f>
        <v>12.08.21 07-00</v>
      </c>
      <c r="N233" t="str">
        <f ca="1">IFERROR(__xludf.DUMMYFUNCTION("""COMPUTED_VALUE"""),"04 РАСФ")</f>
        <v>04 РАСФ</v>
      </c>
      <c r="O233">
        <f ca="1">IFERROR(__xludf.DUMMYFUNCTION("""COMPUTED_VALUE"""),35450)</f>
        <v>35450</v>
      </c>
      <c r="P233" t="str">
        <f ca="1">IFERROR(__xludf.DUMMYFUNCTION("""COMPUTED_VALUE"""),"ВЕРБКА")</f>
        <v>ВЕРБКА</v>
      </c>
      <c r="Q233">
        <f ca="1">IFERROR(__xludf.DUMMYFUNCTION("""COMPUTED_VALUE"""),49620)</f>
        <v>49620</v>
      </c>
      <c r="R233" t="str">
        <f ca="1">IFERROR(__xludf.DUMMYFUNCTION("""COMPUTED_VALUE"""),"ДЕКОНСКАЯ")</f>
        <v>ДЕКОНСКАЯ</v>
      </c>
      <c r="S233" t="str">
        <f ca="1">IFERROR(__xludf.DUMMYFUNCTION("""COMPUTED_VALUE"""),"11.08.21 20-10")</f>
        <v>11.08.21 20-10</v>
      </c>
      <c r="T233">
        <f ca="1">IFERROR(__xludf.DUMMYFUNCTION("""COMPUTED_VALUE"""),4149)</f>
        <v>4149</v>
      </c>
      <c r="U233" t="str">
        <f ca="1">IFERROR(__xludf.DUMMYFUNCTION("""COMPUTED_VALUE"""),"06.12.2022 ДР")</f>
        <v>06.12.2022 ДР</v>
      </c>
      <c r="Z233" t="str">
        <f ca="1">IFERROR(__xludf.DUMMYFUNCTION("""COMPUTED_VALUE"""),"ООО «КЕРРИЛАЙН»")</f>
        <v>ООО «КЕРРИЛАЙН»</v>
      </c>
      <c r="AA233" t="str">
        <f ca="1">IFERROR(__xludf.DUMMYFUNCTION("""COMPUTED_VALUE"""),"11-217")</f>
        <v>11-217</v>
      </c>
      <c r="AB233" t="str">
        <f ca="1">IFERROR(__xludf.DUMMYFUNCTION("""COMPUTED_VALUE"""),"45 ПРИДН")</f>
        <v>45 ПРИДН</v>
      </c>
      <c r="AC233" t="str">
        <f ca="1">IFERROR(__xludf.DUMMYFUNCTION("""COMPUTED_VALUE"""),"46350 ПЕРЕДАТОЧНАЯ")</f>
        <v>46350 ПЕРЕДАТОЧНАЯ</v>
      </c>
      <c r="AD233" t="str">
        <f ca="1">IFERROR(__xludf.DUMMYFUNCTION("""COMPUTED_VALUE"""),"29.01.20 10-05")</f>
        <v>29.01.20 10-05</v>
      </c>
      <c r="AE233" t="str">
        <f ca="1">IFERROR(__xludf.DUMMYFUNCTION("""COMPUTED_VALUE"""),"910 OТCУТCТВИE ПАСПОРТА ФOPМЫ ВУ-4М")</f>
        <v>910 OТCУТCТВИE ПАСПОРТА ФOPМЫ ВУ-4М</v>
      </c>
      <c r="AF233" t="str">
        <f ca="1">IFERROR(__xludf.DUMMYFUNCTION("""COMPUTED_VALUE"""),"45 ПРИДН")</f>
        <v>45 ПРИДН</v>
      </c>
      <c r="AG233" t="str">
        <f ca="1">IFERROR(__xludf.DUMMYFUNCTION("""COMPUTED_VALUE"""),"46350 ПЕРЕДАТОЧНАЯ")</f>
        <v>46350 ПЕРЕДАТОЧНАЯ</v>
      </c>
      <c r="AH233" t="str">
        <f ca="1">IFERROR(__xludf.DUMMYFUNCTION("""COMPUTED_VALUE"""),"29.01.20 14-48")</f>
        <v>29.01.20 14-48</v>
      </c>
      <c r="AI233" s="21">
        <f ca="1">IFERROR(__xludf.DUMMYFUNCTION("""COMPUTED_VALUE"""),44420.357662037)</f>
        <v>44420.357662037</v>
      </c>
    </row>
    <row r="234" spans="1:35" ht="13" x14ac:dyDescent="0.15">
      <c r="A234">
        <f ca="1">IFERROR(__xludf.DUMMYFUNCTION("""COMPUTED_VALUE"""),1125)</f>
        <v>1125</v>
      </c>
      <c r="B234" t="str">
        <f ca="1">IFERROR(__xludf.DUMMYFUNCTION("""COMPUTED_VALUE"""),"Кнауф")</f>
        <v>Кнауф</v>
      </c>
      <c r="C234" t="str">
        <f ca="1">IFERROR(__xludf.DUMMYFUNCTION("""COMPUTED_VALUE"""),"Керрилайн")</f>
        <v>Керрилайн</v>
      </c>
      <c r="D234">
        <f ca="1">IFERROR(__xludf.DUMMYFUNCTION("""COMPUTED_VALUE"""),24436628)</f>
        <v>24436628</v>
      </c>
      <c r="E234" t="str">
        <f ca="1">IFERROR(__xludf.DUMMYFUNCTION("""COMPUTED_VALUE"""),"20 КРЫТЫЕ")</f>
        <v>20 КРЫТЫЕ</v>
      </c>
      <c r="F234">
        <f ca="1">IFERROR(__xludf.DUMMYFUNCTION("""COMPUTED_VALUE"""),28114)</f>
        <v>28114</v>
      </c>
      <c r="G234" t="str">
        <f ca="1">IFERROR(__xludf.DUMMYFUNCTION("""COMPUTED_VALUE"""),"ЦЕМЕНТ ПР")</f>
        <v>ЦЕМЕНТ ПР</v>
      </c>
      <c r="H234">
        <f ca="1">IFERROR(__xludf.DUMMYFUNCTION("""COMPUTED_VALUE"""),68)</f>
        <v>68</v>
      </c>
      <c r="I234">
        <f ca="1">IFERROR(__xludf.DUMMYFUNCTION("""COMPUTED_VALUE"""),1494)</f>
        <v>1494</v>
      </c>
      <c r="J234" t="str">
        <f ca="1">IFERROR(__xludf.DUMMYFUNCTION("""COMPUTED_VALUE"""),"1111 (38830-089-37000) ЯМНИЦА - ЛЬВОВ")</f>
        <v>1111 (38830-089-37000) ЯМНИЦА - ЛЬВОВ</v>
      </c>
      <c r="K234">
        <f ca="1">IFERROR(__xludf.DUMMYFUNCTION("""COMPUTED_VALUE"""),38830)</f>
        <v>38830</v>
      </c>
      <c r="L234" t="str">
        <f ca="1">IFERROR(__xludf.DUMMYFUNCTION("""COMPUTED_VALUE"""),"ЯМНИЦА")</f>
        <v>ЯМНИЦА</v>
      </c>
      <c r="M234" t="str">
        <f ca="1">IFERROR(__xludf.DUMMYFUNCTION("""COMPUTED_VALUE"""),"12.08.21 01-15")</f>
        <v>12.08.21 01-15</v>
      </c>
      <c r="N234" t="str">
        <f ca="1">IFERROR(__xludf.DUMMYFUNCTION("""COMPUTED_VALUE"""),"05 ФОРМ")</f>
        <v>05 ФОРМ</v>
      </c>
      <c r="O234">
        <f ca="1">IFERROR(__xludf.DUMMYFUNCTION("""COMPUTED_VALUE"""),44050)</f>
        <v>44050</v>
      </c>
      <c r="P234" t="str">
        <f ca="1">IFERROR(__xludf.DUMMYFUNCTION("""COMPUTED_VALUE"""),"ХАРЬКОВ-БАЛ")</f>
        <v>ХАРЬКОВ-БАЛ</v>
      </c>
      <c r="Q234">
        <f ca="1">IFERROR(__xludf.DUMMYFUNCTION("""COMPUTED_VALUE"""),38830)</f>
        <v>38830</v>
      </c>
      <c r="R234" t="str">
        <f ca="1">IFERROR(__xludf.DUMMYFUNCTION("""COMPUTED_VALUE"""),"ЯМНИЦА")</f>
        <v>ЯМНИЦА</v>
      </c>
      <c r="S234" t="str">
        <f ca="1">IFERROR(__xludf.DUMMYFUNCTION("""COMPUTED_VALUE"""),"12.08.21 00-10")</f>
        <v>12.08.21 00-10</v>
      </c>
      <c r="T234">
        <f ca="1">IFERROR(__xludf.DUMMYFUNCTION("""COMPUTED_VALUE"""),8199)</f>
        <v>8199</v>
      </c>
      <c r="U234" t="str">
        <f ca="1">IFERROR(__xludf.DUMMYFUNCTION("""COMPUTED_VALUE"""),"16.12.2022 ДР")</f>
        <v>16.12.2022 ДР</v>
      </c>
      <c r="Z234" t="str">
        <f ca="1">IFERROR(__xludf.DUMMYFUNCTION("""COMPUTED_VALUE"""),"ООО «КЕРРИЛАЙН»")</f>
        <v>ООО «КЕРРИЛАЙН»</v>
      </c>
      <c r="AA234" t="str">
        <f ca="1">IFERROR(__xludf.DUMMYFUNCTION("""COMPUTED_VALUE"""),"11-217")</f>
        <v>11-217</v>
      </c>
      <c r="AB234" t="str">
        <f ca="1">IFERROR(__xludf.DUMMYFUNCTION("""COMPUTED_VALUE"""),"43 ЮЖН")</f>
        <v>43 ЮЖН</v>
      </c>
      <c r="AC234" t="str">
        <f ca="1">IFERROR(__xludf.DUMMYFUNCTION("""COMPUTED_VALUE"""),"44020 ОСНОВА")</f>
        <v>44020 ОСНОВА</v>
      </c>
      <c r="AD234" t="str">
        <f ca="1">IFERROR(__xludf.DUMMYFUNCTION("""COMPUTED_VALUE"""),"20.03.21 02-45")</f>
        <v>20.03.21 02-45</v>
      </c>
      <c r="AE234" t="str">
        <f ca="1">IFERROR(__xludf.DUMMYFUNCTION("""COMPUTED_VALUE"""),"537 НEИCПPAВНOCТЬ ЗAПOPA ДВEPИ")</f>
        <v>537 НEИCПPAВНOCТЬ ЗAПOPA ДВEPИ</v>
      </c>
      <c r="AF234" t="str">
        <f ca="1">IFERROR(__xludf.DUMMYFUNCTION("""COMPUTED_VALUE"""),"43 ЮЖН")</f>
        <v>43 ЮЖН</v>
      </c>
      <c r="AG234" t="str">
        <f ca="1">IFERROR(__xludf.DUMMYFUNCTION("""COMPUTED_VALUE"""),"44020 ОСНОВА")</f>
        <v>44020 ОСНОВА</v>
      </c>
      <c r="AH234" t="str">
        <f ca="1">IFERROR(__xludf.DUMMYFUNCTION("""COMPUTED_VALUE"""),"22.03.21 17-10")</f>
        <v>22.03.21 17-10</v>
      </c>
      <c r="AI234" s="21">
        <f ca="1">IFERROR(__xludf.DUMMYFUNCTION("""COMPUTED_VALUE"""),44420.357662037)</f>
        <v>44420.357662037</v>
      </c>
    </row>
    <row r="235" spans="1:35" ht="13" x14ac:dyDescent="0.15">
      <c r="A235">
        <f ca="1">IFERROR(__xludf.DUMMYFUNCTION("""COMPUTED_VALUE"""),1126)</f>
        <v>1126</v>
      </c>
      <c r="B235" t="str">
        <f ca="1">IFERROR(__xludf.DUMMYFUNCTION("""COMPUTED_VALUE"""),"Кнауф")</f>
        <v>Кнауф</v>
      </c>
      <c r="C235" t="str">
        <f ca="1">IFERROR(__xludf.DUMMYFUNCTION("""COMPUTED_VALUE"""),"Керрилайн")</f>
        <v>Керрилайн</v>
      </c>
      <c r="D235">
        <f ca="1">IFERROR(__xludf.DUMMYFUNCTION("""COMPUTED_VALUE"""),24544975)</f>
        <v>24544975</v>
      </c>
      <c r="E235" t="str">
        <f ca="1">IFERROR(__xludf.DUMMYFUNCTION("""COMPUTED_VALUE"""),"20 КРЫТЫЕ")</f>
        <v>20 КРЫТЫЕ</v>
      </c>
      <c r="F235">
        <f ca="1">IFERROR(__xludf.DUMMYFUNCTION("""COMPUTED_VALUE"""),28114)</f>
        <v>28114</v>
      </c>
      <c r="G235" t="str">
        <f ca="1">IFERROR(__xludf.DUMMYFUNCTION("""COMPUTED_VALUE"""),"ЦЕМЕНТ ПР")</f>
        <v>ЦЕМЕНТ ПР</v>
      </c>
      <c r="H235">
        <f ca="1">IFERROR(__xludf.DUMMYFUNCTION("""COMPUTED_VALUE"""),68)</f>
        <v>68</v>
      </c>
      <c r="I235">
        <f ca="1">IFERROR(__xludf.DUMMYFUNCTION("""COMPUTED_VALUE"""),1494)</f>
        <v>1494</v>
      </c>
      <c r="J235" t="str">
        <f ca="1">IFERROR(__xludf.DUMMYFUNCTION("""COMPUTED_VALUE"""),"1111 (38830-084-37000) ЯМНИЦА - ЛЬВОВ")</f>
        <v>1111 (38830-084-37000) ЯМНИЦА - ЛЬВОВ</v>
      </c>
      <c r="K235">
        <f ca="1">IFERROR(__xludf.DUMMYFUNCTION("""COMPUTED_VALUE"""),38830)</f>
        <v>38830</v>
      </c>
      <c r="L235" t="str">
        <f ca="1">IFERROR(__xludf.DUMMYFUNCTION("""COMPUTED_VALUE"""),"ЯМНИЦА")</f>
        <v>ЯМНИЦА</v>
      </c>
      <c r="M235" t="str">
        <f ca="1">IFERROR(__xludf.DUMMYFUNCTION("""COMPUTED_VALUE"""),"11.08.21 13-19")</f>
        <v>11.08.21 13-19</v>
      </c>
      <c r="N235" t="str">
        <f ca="1">IFERROR(__xludf.DUMMYFUNCTION("""COMPUTED_VALUE"""),"05 ФОРМ")</f>
        <v>05 ФОРМ</v>
      </c>
      <c r="O235">
        <f ca="1">IFERROR(__xludf.DUMMYFUNCTION("""COMPUTED_VALUE"""),44050)</f>
        <v>44050</v>
      </c>
      <c r="P235" t="str">
        <f ca="1">IFERROR(__xludf.DUMMYFUNCTION("""COMPUTED_VALUE"""),"ХАРЬКОВ-БАЛ")</f>
        <v>ХАРЬКОВ-БАЛ</v>
      </c>
      <c r="Q235">
        <f ca="1">IFERROR(__xludf.DUMMYFUNCTION("""COMPUTED_VALUE"""),38830)</f>
        <v>38830</v>
      </c>
      <c r="R235" t="str">
        <f ca="1">IFERROR(__xludf.DUMMYFUNCTION("""COMPUTED_VALUE"""),"ЯМНИЦА")</f>
        <v>ЯМНИЦА</v>
      </c>
      <c r="S235" t="str">
        <f ca="1">IFERROR(__xludf.DUMMYFUNCTION("""COMPUTED_VALUE"""),"11.08.21 09-15")</f>
        <v>11.08.21 09-15</v>
      </c>
      <c r="T235">
        <f ca="1">IFERROR(__xludf.DUMMYFUNCTION("""COMPUTED_VALUE"""),8199)</f>
        <v>8199</v>
      </c>
      <c r="U235" t="str">
        <f ca="1">IFERROR(__xludf.DUMMYFUNCTION("""COMPUTED_VALUE"""),"06.12.2022 ДР")</f>
        <v>06.12.2022 ДР</v>
      </c>
      <c r="Z235" t="str">
        <f ca="1">IFERROR(__xludf.DUMMYFUNCTION("""COMPUTED_VALUE"""),"ООО «КЕРРИЛАЙН»")</f>
        <v>ООО «КЕРРИЛАЙН»</v>
      </c>
      <c r="AA235" t="str">
        <f ca="1">IFERROR(__xludf.DUMMYFUNCTION("""COMPUTED_VALUE"""),"11-270")</f>
        <v>11-270</v>
      </c>
      <c r="AB235" t="str">
        <f ca="1">IFERROR(__xludf.DUMMYFUNCTION("""COMPUTED_VALUE"""),"43 ЮЖН")</f>
        <v>43 ЮЖН</v>
      </c>
      <c r="AC235" t="str">
        <f ca="1">IFERROR(__xludf.DUMMYFUNCTION("""COMPUTED_VALUE"""),"44020 ОСНОВА")</f>
        <v>44020 ОСНОВА</v>
      </c>
      <c r="AD235" t="str">
        <f ca="1">IFERROR(__xludf.DUMMYFUNCTION("""COMPUTED_VALUE"""),"20.12.20 04-39")</f>
        <v>20.12.20 04-39</v>
      </c>
      <c r="AE235" t="str">
        <f ca="1">IFERROR(__xludf.DUMMYFUNCTION("""COMPUTED_VALUE"""),"537 НEИCПPAВНOCТЬ ЗAПOPA ДВEPИ")</f>
        <v>537 НEИCПPAВНOCТЬ ЗAПOPA ДВEPИ</v>
      </c>
      <c r="AF235" t="str">
        <f ca="1">IFERROR(__xludf.DUMMYFUNCTION("""COMPUTED_VALUE"""),"43 ЮЖН")</f>
        <v>43 ЮЖН</v>
      </c>
      <c r="AG235" t="str">
        <f ca="1">IFERROR(__xludf.DUMMYFUNCTION("""COMPUTED_VALUE"""),"44020 ОСНОВА")</f>
        <v>44020 ОСНОВА</v>
      </c>
      <c r="AH235" t="str">
        <f ca="1">IFERROR(__xludf.DUMMYFUNCTION("""COMPUTED_VALUE"""),"26.12.20 16-00")</f>
        <v>26.12.20 16-00</v>
      </c>
      <c r="AI235" s="21">
        <f ca="1">IFERROR(__xludf.DUMMYFUNCTION("""COMPUTED_VALUE"""),44420.357662037)</f>
        <v>44420.357662037</v>
      </c>
    </row>
    <row r="236" spans="1:35" ht="13" x14ac:dyDescent="0.15">
      <c r="A236">
        <f ca="1">IFERROR(__xludf.DUMMYFUNCTION("""COMPUTED_VALUE"""),1127)</f>
        <v>1127</v>
      </c>
      <c r="B236" t="str">
        <f ca="1">IFERROR(__xludf.DUMMYFUNCTION("""COMPUTED_VALUE"""),"Кнауф")</f>
        <v>Кнауф</v>
      </c>
      <c r="C236" t="str">
        <f ca="1">IFERROR(__xludf.DUMMYFUNCTION("""COMPUTED_VALUE"""),"Керрилайн")</f>
        <v>Керрилайн</v>
      </c>
      <c r="D236">
        <f ca="1">IFERROR(__xludf.DUMMYFUNCTION("""COMPUTED_VALUE"""),24436651)</f>
        <v>24436651</v>
      </c>
      <c r="E236" t="str">
        <f ca="1">IFERROR(__xludf.DUMMYFUNCTION("""COMPUTED_VALUE"""),"20 КРЫТЫЕ")</f>
        <v>20 КРЫТЫЕ</v>
      </c>
      <c r="F236">
        <f ca="1">IFERROR(__xludf.DUMMYFUNCTION("""COMPUTED_VALUE"""),28114)</f>
        <v>28114</v>
      </c>
      <c r="G236" t="str">
        <f ca="1">IFERROR(__xludf.DUMMYFUNCTION("""COMPUTED_VALUE"""),"ЦЕМЕНТ ПР")</f>
        <v>ЦЕМЕНТ ПР</v>
      </c>
      <c r="H236">
        <f ca="1">IFERROR(__xludf.DUMMYFUNCTION("""COMPUTED_VALUE"""),68)</f>
        <v>68</v>
      </c>
      <c r="I236">
        <f ca="1">IFERROR(__xludf.DUMMYFUNCTION("""COMPUTED_VALUE"""),3553)</f>
        <v>3553</v>
      </c>
      <c r="J236" t="str">
        <f ca="1">IFERROR(__xludf.DUMMYFUNCTION("""COMPUTED_VALUE"""),"1111 (38830-089-37000) ЯМНИЦА - ЛЬВОВ")</f>
        <v>1111 (38830-089-37000) ЯМНИЦА - ЛЬВОВ</v>
      </c>
      <c r="K236">
        <f ca="1">IFERROR(__xludf.DUMMYFUNCTION("""COMPUTED_VALUE"""),38830)</f>
        <v>38830</v>
      </c>
      <c r="L236" t="str">
        <f ca="1">IFERROR(__xludf.DUMMYFUNCTION("""COMPUTED_VALUE"""),"ЯМНИЦА")</f>
        <v>ЯМНИЦА</v>
      </c>
      <c r="M236" t="str">
        <f ca="1">IFERROR(__xludf.DUMMYFUNCTION("""COMPUTED_VALUE"""),"12.08.21 01-15")</f>
        <v>12.08.21 01-15</v>
      </c>
      <c r="N236" t="str">
        <f ca="1">IFERROR(__xludf.DUMMYFUNCTION("""COMPUTED_VALUE"""),"05 ФОРМ")</f>
        <v>05 ФОРМ</v>
      </c>
      <c r="O236">
        <f ca="1">IFERROR(__xludf.DUMMYFUNCTION("""COMPUTED_VALUE"""),44090)</f>
        <v>44090</v>
      </c>
      <c r="P236" t="str">
        <f ca="1">IFERROR(__xludf.DUMMYFUNCTION("""COMPUTED_VALUE"""),"ЗАЛЮТИНО")</f>
        <v>ЗАЛЮТИНО</v>
      </c>
      <c r="Q236">
        <f ca="1">IFERROR(__xludf.DUMMYFUNCTION("""COMPUTED_VALUE"""),38830)</f>
        <v>38830</v>
      </c>
      <c r="R236" t="str">
        <f ca="1">IFERROR(__xludf.DUMMYFUNCTION("""COMPUTED_VALUE"""),"ЯМНИЦА")</f>
        <v>ЯМНИЦА</v>
      </c>
      <c r="S236" t="str">
        <f ca="1">IFERROR(__xludf.DUMMYFUNCTION("""COMPUTED_VALUE"""),"12.08.21 00-10")</f>
        <v>12.08.21 00-10</v>
      </c>
      <c r="T236">
        <f ca="1">IFERROR(__xludf.DUMMYFUNCTION("""COMPUTED_VALUE"""),8199)</f>
        <v>8199</v>
      </c>
      <c r="U236" t="str">
        <f ca="1">IFERROR(__xludf.DUMMYFUNCTION("""COMPUTED_VALUE"""),"10.12.2022 ДР")</f>
        <v>10.12.2022 ДР</v>
      </c>
      <c r="Z236" t="str">
        <f ca="1">IFERROR(__xludf.DUMMYFUNCTION("""COMPUTED_VALUE"""),"ООО «КЕРРИЛАЙН»")</f>
        <v>ООО «КЕРРИЛАЙН»</v>
      </c>
      <c r="AA236" t="str">
        <f ca="1">IFERROR(__xludf.DUMMYFUNCTION("""COMPUTED_VALUE"""),"11-270")</f>
        <v>11-270</v>
      </c>
      <c r="AB236" t="str">
        <f ca="1">IFERROR(__xludf.DUMMYFUNCTION("""COMPUTED_VALUE"""),"48 ДОН")</f>
        <v>48 ДОН</v>
      </c>
      <c r="AC236" t="str">
        <f ca="1">IFERROR(__xludf.DUMMYFUNCTION("""COMPUTED_VALUE"""),"49000 ЛИМАН")</f>
        <v>49000 ЛИМАН</v>
      </c>
      <c r="AD236" t="str">
        <f ca="1">IFERROR(__xludf.DUMMYFUNCTION("""COMPUTED_VALUE"""),"01.01.21 02-28")</f>
        <v>01.01.21 02-28</v>
      </c>
      <c r="AE236" t="str">
        <f ca="1">IFERROR(__xludf.DUMMYFUNCTION("""COMPUTED_VALUE"""),"381 OБPЫВ/ТPEЩИНA МAЯТНИКОВОЙ ПOДВECКИ")</f>
        <v>381 OБPЫВ/ТPEЩИНA МAЯТНИКОВОЙ ПOДВECКИ</v>
      </c>
      <c r="AF236" t="str">
        <f ca="1">IFERROR(__xludf.DUMMYFUNCTION("""COMPUTED_VALUE"""),"48 ДОН")</f>
        <v>48 ДОН</v>
      </c>
      <c r="AG236" t="str">
        <f ca="1">IFERROR(__xludf.DUMMYFUNCTION("""COMPUTED_VALUE"""),"49000 ЛИМАН")</f>
        <v>49000 ЛИМАН</v>
      </c>
      <c r="AH236" t="str">
        <f ca="1">IFERROR(__xludf.DUMMYFUNCTION("""COMPUTED_VALUE"""),"04.01.21 17-00")</f>
        <v>04.01.21 17-00</v>
      </c>
      <c r="AI236" s="21">
        <f ca="1">IFERROR(__xludf.DUMMYFUNCTION("""COMPUTED_VALUE"""),44420.357662037)</f>
        <v>44420.357662037</v>
      </c>
    </row>
    <row r="237" spans="1:35" ht="13" x14ac:dyDescent="0.15">
      <c r="A237">
        <f ca="1">IFERROR(__xludf.DUMMYFUNCTION("""COMPUTED_VALUE"""),1128)</f>
        <v>1128</v>
      </c>
      <c r="B237" t="str">
        <f ca="1">IFERROR(__xludf.DUMMYFUNCTION("""COMPUTED_VALUE"""),"Кнауф")</f>
        <v>Кнауф</v>
      </c>
      <c r="C237" t="str">
        <f ca="1">IFERROR(__xludf.DUMMYFUNCTION("""COMPUTED_VALUE"""),"Керрилайн")</f>
        <v>Керрилайн</v>
      </c>
      <c r="D237">
        <f ca="1">IFERROR(__xludf.DUMMYFUNCTION("""COMPUTED_VALUE"""),24436545)</f>
        <v>24436545</v>
      </c>
      <c r="E237" t="str">
        <f ca="1">IFERROR(__xludf.DUMMYFUNCTION("""COMPUTED_VALUE"""),"20 КРЫТЫЕ")</f>
        <v>20 КРЫТЫЕ</v>
      </c>
      <c r="F237">
        <f ca="1">IFERROR(__xludf.DUMMYFUNCTION("""COMPUTED_VALUE"""),42103)</f>
        <v>42103</v>
      </c>
      <c r="G237" t="str">
        <f ca="1">IFERROR(__xludf.DUMMYFUNCTION("""COMPUTED_VALUE"""),"ВАГОНЫ ЖД СВ")</f>
        <v>ВАГОНЫ ЖД СВ</v>
      </c>
      <c r="H237">
        <f ca="1">IFERROR(__xludf.DUMMYFUNCTION("""COMPUTED_VALUE"""),0)</f>
        <v>0</v>
      </c>
      <c r="I237">
        <f ca="1">IFERROR(__xludf.DUMMYFUNCTION("""COMPUTED_VALUE"""),4149)</f>
        <v>4149</v>
      </c>
      <c r="J237" t="str">
        <f ca="1">IFERROR(__xludf.DUMMYFUNCTION("""COMPUTED_VALUE"""),"3802 (49460-038-49640) БАХМУТ -")</f>
        <v>3802 (49460-038-49640) БАХМУТ -</v>
      </c>
      <c r="K237">
        <f ca="1">IFERROR(__xludf.DUMMYFUNCTION("""COMPUTED_VALUE"""),49620)</f>
        <v>49620</v>
      </c>
      <c r="L237" t="str">
        <f ca="1">IFERROR(__xludf.DUMMYFUNCTION("""COMPUTED_VALUE"""),"ДЕКОНСКАЯ")</f>
        <v>ДЕКОНСКАЯ</v>
      </c>
      <c r="M237" t="str">
        <f ca="1">IFERROR(__xludf.DUMMYFUNCTION("""COMPUTED_VALUE"""),"10.08.21 21-00")</f>
        <v>10.08.21 21-00</v>
      </c>
      <c r="N237" t="str">
        <f ca="1">IFERROR(__xludf.DUMMYFUNCTION("""COMPUTED_VALUE"""),"98 ОТОТ")</f>
        <v>98 ОТОТ</v>
      </c>
      <c r="O237">
        <f ca="1">IFERROR(__xludf.DUMMYFUNCTION("""COMPUTED_VALUE"""),49620)</f>
        <v>49620</v>
      </c>
      <c r="P237" t="str">
        <f ca="1">IFERROR(__xludf.DUMMYFUNCTION("""COMPUTED_VALUE"""),"ДЕКОНСКАЯ")</f>
        <v>ДЕКОНСКАЯ</v>
      </c>
      <c r="Q237">
        <f ca="1">IFERROR(__xludf.DUMMYFUNCTION("""COMPUTED_VALUE"""),49180)</f>
        <v>49180</v>
      </c>
      <c r="R237" t="str">
        <f ca="1">IFERROR(__xludf.DUMMYFUNCTION("""COMPUTED_VALUE"""),"КРАМАТОРСК")</f>
        <v>КРАМАТОРСК</v>
      </c>
      <c r="S237" t="str">
        <f ca="1">IFERROR(__xludf.DUMMYFUNCTION("""COMPUTED_VALUE"""),"07.08.21 17-30")</f>
        <v>07.08.21 17-30</v>
      </c>
      <c r="T237">
        <f ca="1">IFERROR(__xludf.DUMMYFUNCTION("""COMPUTED_VALUE"""),8200)</f>
        <v>8200</v>
      </c>
      <c r="U237" t="str">
        <f ca="1">IFERROR(__xludf.DUMMYFUNCTION("""COMPUTED_VALUE"""),"10.12.2022 ДР")</f>
        <v>10.12.2022 ДР</v>
      </c>
      <c r="Z237" t="str">
        <f ca="1">IFERROR(__xludf.DUMMYFUNCTION("""COMPUTED_VALUE"""),"ООО «КЕРРИЛАЙН»")</f>
        <v>ООО «КЕРРИЛАЙН»</v>
      </c>
      <c r="AA237" t="str">
        <f ca="1">IFERROR(__xludf.DUMMYFUNCTION("""COMPUTED_VALUE"""),"11-217")</f>
        <v>11-217</v>
      </c>
      <c r="AB237" t="str">
        <f ca="1">IFERROR(__xludf.DUMMYFUNCTION("""COMPUTED_VALUE"""),"48 ДОН")</f>
        <v>48 ДОН</v>
      </c>
      <c r="AC237" t="str">
        <f ca="1">IFERROR(__xludf.DUMMYFUNCTION("""COMPUTED_VALUE"""),"49480 СОЛЬ")</f>
        <v>49480 СОЛЬ</v>
      </c>
      <c r="AD237" t="str">
        <f ca="1">IFERROR(__xludf.DUMMYFUNCTION("""COMPUTED_VALUE"""),"16.12.20 11-00")</f>
        <v>16.12.20 11-00</v>
      </c>
      <c r="AE237" t="str">
        <f ca="1">IFERROR(__xludf.DUMMYFUNCTION("""COMPUTED_VALUE"""),"563")</f>
        <v>563</v>
      </c>
      <c r="AF237" t="str">
        <f ca="1">IFERROR(__xludf.DUMMYFUNCTION("""COMPUTED_VALUE"""),"48 ДОН")</f>
        <v>48 ДОН</v>
      </c>
      <c r="AG237" t="str">
        <f ca="1">IFERROR(__xludf.DUMMYFUNCTION("""COMPUTED_VALUE"""),"49480 СОЛЬ")</f>
        <v>49480 СОЛЬ</v>
      </c>
      <c r="AH237" t="str">
        <f ca="1">IFERROR(__xludf.DUMMYFUNCTION("""COMPUTED_VALUE"""),"17.12.20 16-00")</f>
        <v>17.12.20 16-00</v>
      </c>
      <c r="AI237" s="21">
        <f ca="1">IFERROR(__xludf.DUMMYFUNCTION("""COMPUTED_VALUE"""),44420.357662037)</f>
        <v>44420.357662037</v>
      </c>
    </row>
    <row r="238" spans="1:35" ht="13" x14ac:dyDescent="0.15">
      <c r="A238">
        <f ca="1">IFERROR(__xludf.DUMMYFUNCTION("""COMPUTED_VALUE"""),1378)</f>
        <v>1378</v>
      </c>
      <c r="B238" t="str">
        <f ca="1">IFERROR(__xludf.DUMMYFUNCTION("""COMPUTED_VALUE"""),"Кнауф")</f>
        <v>Кнауф</v>
      </c>
      <c r="C238" t="str">
        <f ca="1">IFERROR(__xludf.DUMMYFUNCTION("""COMPUTED_VALUE"""),"Укррос")</f>
        <v>Укррос</v>
      </c>
      <c r="D238">
        <f ca="1">IFERROR(__xludf.DUMMYFUNCTION("""COMPUTED_VALUE"""),52416856)</f>
        <v>52416856</v>
      </c>
      <c r="E238" t="str">
        <f ca="1">IFERROR(__xludf.DUMMYFUNCTION("""COMPUTED_VALUE"""),"20 КРЫТЫЕ")</f>
        <v>20 КРЫТЫЕ</v>
      </c>
      <c r="F238">
        <f ca="1">IFERROR(__xludf.DUMMYFUNCTION("""COMPUTED_VALUE"""),23304)</f>
        <v>23304</v>
      </c>
      <c r="G238" t="str">
        <f ca="1">IFERROR(__xludf.DUMMYFUNCTION("""COMPUTED_VALUE"""),"ГИПС ПР")</f>
        <v>ГИПС ПР</v>
      </c>
      <c r="H238">
        <f ca="1">IFERROR(__xludf.DUMMYFUNCTION("""COMPUTED_VALUE"""),65)</f>
        <v>65</v>
      </c>
      <c r="I238">
        <f ca="1">IFERROR(__xludf.DUMMYFUNCTION("""COMPUTED_VALUE"""),4969)</f>
        <v>4969</v>
      </c>
      <c r="J238" t="str">
        <f ca="1">IFERROR(__xludf.DUMMYFUNCTION("""COMPUTED_VALUE"""),"2143 (44020-239-32000) ОСНОВА - ДАРНИЦА")</f>
        <v>2143 (44020-239-32000) ОСНОВА - ДАРНИЦА</v>
      </c>
      <c r="K238">
        <f ca="1">IFERROR(__xludf.DUMMYFUNCTION("""COMPUTED_VALUE"""),42830)</f>
        <v>42830</v>
      </c>
      <c r="L238" t="str">
        <f ca="1">IFERROR(__xludf.DUMMYFUNCTION("""COMPUTED_VALUE"""),"ГРЕБЕНКА")</f>
        <v>ГРЕБЕНКА</v>
      </c>
      <c r="M238" t="str">
        <f ca="1">IFERROR(__xludf.DUMMYFUNCTION("""COMPUTED_VALUE"""),"12.08.21 08-10")</f>
        <v>12.08.21 08-10</v>
      </c>
      <c r="N238" t="str">
        <f ca="1">IFERROR(__xludf.DUMMYFUNCTION("""COMPUTED_VALUE"""),"22 СДЧ")</f>
        <v>22 СДЧ</v>
      </c>
      <c r="O238">
        <f ca="1">IFERROR(__xludf.DUMMYFUNCTION("""COMPUTED_VALUE"""),33580)</f>
        <v>33580</v>
      </c>
      <c r="P238" t="str">
        <f ca="1">IFERROR(__xludf.DUMMYFUNCTION("""COMPUTED_VALUE"""),"ВИННИЦА")</f>
        <v>ВИННИЦА</v>
      </c>
      <c r="Q238">
        <f ca="1">IFERROR(__xludf.DUMMYFUNCTION("""COMPUTED_VALUE"""),49620)</f>
        <v>49620</v>
      </c>
      <c r="R238" t="str">
        <f ca="1">IFERROR(__xludf.DUMMYFUNCTION("""COMPUTED_VALUE"""),"ДЕКОНСКАЯ")</f>
        <v>ДЕКОНСКАЯ</v>
      </c>
      <c r="S238" t="str">
        <f ca="1">IFERROR(__xludf.DUMMYFUNCTION("""COMPUTED_VALUE"""),"08.08.21 20-30")</f>
        <v>08.08.21 20-30</v>
      </c>
      <c r="T238">
        <f ca="1">IFERROR(__xludf.DUMMYFUNCTION("""COMPUTED_VALUE"""),4149)</f>
        <v>4149</v>
      </c>
      <c r="U238" t="str">
        <f ca="1">IFERROR(__xludf.DUMMYFUNCTION("""COMPUTED_VALUE"""),"16.06.2022 ДР")</f>
        <v>16.06.2022 ДР</v>
      </c>
      <c r="Z238" t="str">
        <f ca="1">IFERROR(__xludf.DUMMYFUNCTION("""COMPUTED_VALUE"""),"ООО ""Укррос-Транс""")</f>
        <v>ООО "Укррос-Транс"</v>
      </c>
      <c r="AA238" t="str">
        <f ca="1">IFERROR(__xludf.DUMMYFUNCTION("""COMPUTED_VALUE"""),"11-217")</f>
        <v>11-217</v>
      </c>
      <c r="AB238" t="str">
        <f ca="1">IFERROR(__xludf.DUMMYFUNCTION("""COMPUTED_VALUE"""),"48 ДОН")</f>
        <v>48 ДОН</v>
      </c>
      <c r="AC238" t="str">
        <f ca="1">IFERROR(__xludf.DUMMYFUNCTION("""COMPUTED_VALUE"""),"49000 ЛИМАН")</f>
        <v>49000 ЛИМАН</v>
      </c>
      <c r="AD238" t="str">
        <f ca="1">IFERROR(__xludf.DUMMYFUNCTION("""COMPUTED_VALUE"""),"17.07.21 21-15")</f>
        <v>17.07.21 21-15</v>
      </c>
      <c r="AE238" t="str">
        <f ca="1">IFERROR(__xludf.DUMMYFUNCTION("""COMPUTED_VALUE"""),"102 ТOНКИЙ ГPEБEНЬ")</f>
        <v>102 ТOНКИЙ ГPEБEНЬ</v>
      </c>
      <c r="AF238" t="str">
        <f ca="1">IFERROR(__xludf.DUMMYFUNCTION("""COMPUTED_VALUE"""),"48 ДОН")</f>
        <v>48 ДОН</v>
      </c>
      <c r="AG238" t="str">
        <f ca="1">IFERROR(__xludf.DUMMYFUNCTION("""COMPUTED_VALUE"""),"49000 ЛИМАН")</f>
        <v>49000 ЛИМАН</v>
      </c>
      <c r="AH238" t="str">
        <f ca="1">IFERROR(__xludf.DUMMYFUNCTION("""COMPUTED_VALUE"""),"01.08.21 17-00")</f>
        <v>01.08.21 17-00</v>
      </c>
      <c r="AI238" s="21">
        <f ca="1">IFERROR(__xludf.DUMMYFUNCTION("""COMPUTED_VALUE"""),44420.3576851851)</f>
        <v>44420.357685185103</v>
      </c>
    </row>
    <row r="239" spans="1:35" ht="13" x14ac:dyDescent="0.15">
      <c r="A239">
        <f ca="1">IFERROR(__xludf.DUMMYFUNCTION("""COMPUTED_VALUE"""),1379)</f>
        <v>1379</v>
      </c>
      <c r="B239" t="str">
        <f ca="1">IFERROR(__xludf.DUMMYFUNCTION("""COMPUTED_VALUE"""),"Кнауф")</f>
        <v>Кнауф</v>
      </c>
      <c r="C239" t="str">
        <f ca="1">IFERROR(__xludf.DUMMYFUNCTION("""COMPUTED_VALUE"""),"ВКС")</f>
        <v>ВКС</v>
      </c>
      <c r="D239">
        <f ca="1">IFERROR(__xludf.DUMMYFUNCTION("""COMPUTED_VALUE"""),52540861)</f>
        <v>52540861</v>
      </c>
      <c r="E239" t="str">
        <f ca="1">IFERROR(__xludf.DUMMYFUNCTION("""COMPUTED_VALUE"""),"20 КРЫТЫЕ")</f>
        <v>20 КРЫТЫЕ</v>
      </c>
      <c r="F239">
        <f ca="1">IFERROR(__xludf.DUMMYFUNCTION("""COMPUTED_VALUE"""),42103)</f>
        <v>42103</v>
      </c>
      <c r="G239" t="str">
        <f ca="1">IFERROR(__xludf.DUMMYFUNCTION("""COMPUTED_VALUE"""),"ВАГОНЫ ЖД СВ")</f>
        <v>ВАГОНЫ ЖД СВ</v>
      </c>
      <c r="H239">
        <f ca="1">IFERROR(__xludf.DUMMYFUNCTION("""COMPUTED_VALUE"""),0)</f>
        <v>0</v>
      </c>
      <c r="I239">
        <f ca="1">IFERROR(__xludf.DUMMYFUNCTION("""COMPUTED_VALUE"""),4149)</f>
        <v>4149</v>
      </c>
      <c r="J239" t="str">
        <f ca="1">IFERROR(__xludf.DUMMYFUNCTION("""COMPUTED_VALUE"""),"3803 (44050-079-44020) ХАРЬКОВ-БАЛ - ОСНОВА")</f>
        <v>3803 (44050-079-44020) ХАРЬКОВ-БАЛ - ОСНОВА</v>
      </c>
      <c r="K239">
        <f ca="1">IFERROR(__xludf.DUMMYFUNCTION("""COMPUTED_VALUE"""),44050)</f>
        <v>44050</v>
      </c>
      <c r="L239" t="str">
        <f ca="1">IFERROR(__xludf.DUMMYFUNCTION("""COMPUTED_VALUE"""),"ХАРЬКОВ-БАЛ")</f>
        <v>ХАРЬКОВ-БАЛ</v>
      </c>
      <c r="M239" t="str">
        <f ca="1">IFERROR(__xludf.DUMMYFUNCTION("""COMPUTED_VALUE"""),"12.08.21 05-30")</f>
        <v>12.08.21 05-30</v>
      </c>
      <c r="N239" t="str">
        <f ca="1">IFERROR(__xludf.DUMMYFUNCTION("""COMPUTED_VALUE"""),"05 ФОРМ")</f>
        <v>05 ФОРМ</v>
      </c>
      <c r="O239">
        <f ca="1">IFERROR(__xludf.DUMMYFUNCTION("""COMPUTED_VALUE"""),49620)</f>
        <v>49620</v>
      </c>
      <c r="P239" t="str">
        <f ca="1">IFERROR(__xludf.DUMMYFUNCTION("""COMPUTED_VALUE"""),"ДЕКОНСКАЯ")</f>
        <v>ДЕКОНСКАЯ</v>
      </c>
      <c r="Q239">
        <f ca="1">IFERROR(__xludf.DUMMYFUNCTION("""COMPUTED_VALUE"""),44050)</f>
        <v>44050</v>
      </c>
      <c r="R239" t="str">
        <f ca="1">IFERROR(__xludf.DUMMYFUNCTION("""COMPUTED_VALUE"""),"ХАРЬКОВ-БАЛ")</f>
        <v>ХАРЬКОВ-БАЛ</v>
      </c>
      <c r="S239" t="str">
        <f ca="1">IFERROR(__xludf.DUMMYFUNCTION("""COMPUTED_VALUE"""),"11.08.21 17-20")</f>
        <v>11.08.21 17-20</v>
      </c>
      <c r="T239">
        <f ca="1">IFERROR(__xludf.DUMMYFUNCTION("""COMPUTED_VALUE"""),1494)</f>
        <v>1494</v>
      </c>
      <c r="U239" t="str">
        <f ca="1">IFERROR(__xludf.DUMMYFUNCTION("""COMPUTED_VALUE"""),"07.12.2022 ДР")</f>
        <v>07.12.2022 ДР</v>
      </c>
      <c r="Z239" t="str">
        <f ca="1">IFERROR(__xludf.DUMMYFUNCTION("""COMPUTED_VALUE"""),"ФЛП  УДОВЕНКО ИРИНА АЛЕКСАНДРОВНА")</f>
        <v>ФЛП  УДОВЕНКО ИРИНА АЛЕКСАНДРОВНА</v>
      </c>
      <c r="AA239" t="str">
        <f ca="1">IFERROR(__xludf.DUMMYFUNCTION("""COMPUTED_VALUE"""),"11-270")</f>
        <v>11-270</v>
      </c>
      <c r="AB239" t="str">
        <f ca="1">IFERROR(__xludf.DUMMYFUNCTION("""COMPUTED_VALUE"""),"48 ДОН")</f>
        <v>48 ДОН</v>
      </c>
      <c r="AC239" t="str">
        <f ca="1">IFERROR(__xludf.DUMMYFUNCTION("""COMPUTED_VALUE"""),"49480 СОЛЬ")</f>
        <v>49480 СОЛЬ</v>
      </c>
      <c r="AD239" t="str">
        <f ca="1">IFERROR(__xludf.DUMMYFUNCTION("""COMPUTED_VALUE"""),"22.07.20 06-35")</f>
        <v>22.07.20 06-35</v>
      </c>
      <c r="AE239" t="str">
        <f ca="1">IFERROR(__xludf.DUMMYFUNCTION("""COMPUTED_VALUE"""),"412")</f>
        <v>412</v>
      </c>
      <c r="AF239" t="str">
        <f ca="1">IFERROR(__xludf.DUMMYFUNCTION("""COMPUTED_VALUE"""),"48 ДОН")</f>
        <v>48 ДОН</v>
      </c>
      <c r="AG239" t="str">
        <f ca="1">IFERROR(__xludf.DUMMYFUNCTION("""COMPUTED_VALUE"""),"49480 СОЛЬ")</f>
        <v>49480 СОЛЬ</v>
      </c>
      <c r="AH239" t="str">
        <f ca="1">IFERROR(__xludf.DUMMYFUNCTION("""COMPUTED_VALUE"""),"22.07.20 16-00")</f>
        <v>22.07.20 16-00</v>
      </c>
      <c r="AI239" s="21">
        <f ca="1">IFERROR(__xludf.DUMMYFUNCTION("""COMPUTED_VALUE"""),44420.3576851851)</f>
        <v>44420.357685185103</v>
      </c>
    </row>
    <row r="240" spans="1:35" ht="13" x14ac:dyDescent="0.15">
      <c r="A240">
        <f ca="1">IFERROR(__xludf.DUMMYFUNCTION("""COMPUTED_VALUE"""),1380)</f>
        <v>1380</v>
      </c>
      <c r="B240" t="str">
        <f ca="1">IFERROR(__xludf.DUMMYFUNCTION("""COMPUTED_VALUE"""),"Кнауф")</f>
        <v>Кнауф</v>
      </c>
      <c r="C240" t="str">
        <f ca="1">IFERROR(__xludf.DUMMYFUNCTION("""COMPUTED_VALUE"""),"ВКС")</f>
        <v>ВКС</v>
      </c>
      <c r="D240">
        <f ca="1">IFERROR(__xludf.DUMMYFUNCTION("""COMPUTED_VALUE"""),52421443)</f>
        <v>52421443</v>
      </c>
      <c r="E240" t="str">
        <f ca="1">IFERROR(__xludf.DUMMYFUNCTION("""COMPUTED_VALUE"""),"20 КРЫТЫЕ")</f>
        <v>20 КРЫТЫЕ</v>
      </c>
      <c r="F240">
        <f ca="1">IFERROR(__xludf.DUMMYFUNCTION("""COMPUTED_VALUE"""),23304)</f>
        <v>23304</v>
      </c>
      <c r="G240" t="str">
        <f ca="1">IFERROR(__xludf.DUMMYFUNCTION("""COMPUTED_VALUE"""),"ГИПС ПР")</f>
        <v>ГИПС ПР</v>
      </c>
      <c r="H240">
        <f ca="1">IFERROR(__xludf.DUMMYFUNCTION("""COMPUTED_VALUE"""),66)</f>
        <v>66</v>
      </c>
      <c r="I240">
        <f ca="1">IFERROR(__xludf.DUMMYFUNCTION("""COMPUTED_VALUE"""),3314)</f>
        <v>3314</v>
      </c>
      <c r="J240" t="str">
        <f ca="1">IFERROR(__xludf.DUMMYFUNCTION("""COMPUTED_VALUE"""),"2715 (44020-178-32000) ОСНОВА - ДАРНИЦА")</f>
        <v>2715 (44020-178-32000) ОСНОВА - ДАРНИЦА</v>
      </c>
      <c r="K240">
        <f ca="1">IFERROR(__xludf.DUMMYFUNCTION("""COMPUTED_VALUE"""),32300)</f>
        <v>32300</v>
      </c>
      <c r="L240" t="str">
        <f ca="1">IFERROR(__xludf.DUMMYFUNCTION("""COMPUTED_VALUE"""),"ЯГОТИН")</f>
        <v>ЯГОТИН</v>
      </c>
      <c r="M240" t="str">
        <f ca="1">IFERROR(__xludf.DUMMYFUNCTION("""COMPUTED_VALUE"""),"12.08.21 08-20")</f>
        <v>12.08.21 08-20</v>
      </c>
      <c r="N240" t="str">
        <f ca="1">IFERROR(__xludf.DUMMYFUNCTION("""COMPUTED_VALUE"""),"02 ОТПР")</f>
        <v>02 ОТПР</v>
      </c>
      <c r="O240">
        <f ca="1">IFERROR(__xludf.DUMMYFUNCTION("""COMPUTED_VALUE"""),32040)</f>
        <v>32040</v>
      </c>
      <c r="P240" t="str">
        <f ca="1">IFERROR(__xludf.DUMMYFUNCTION("""COMPUTED_VALUE"""),"ГРУШКИ")</f>
        <v>ГРУШКИ</v>
      </c>
      <c r="Q240">
        <f ca="1">IFERROR(__xludf.DUMMYFUNCTION("""COMPUTED_VALUE"""),49620)</f>
        <v>49620</v>
      </c>
      <c r="R240" t="str">
        <f ca="1">IFERROR(__xludf.DUMMYFUNCTION("""COMPUTED_VALUE"""),"ДЕКОНСКАЯ")</f>
        <v>ДЕКОНСКАЯ</v>
      </c>
      <c r="S240" t="str">
        <f ca="1">IFERROR(__xludf.DUMMYFUNCTION("""COMPUTED_VALUE"""),"08.08.21 07-45")</f>
        <v>08.08.21 07-45</v>
      </c>
      <c r="T240">
        <f ca="1">IFERROR(__xludf.DUMMYFUNCTION("""COMPUTED_VALUE"""),4149)</f>
        <v>4149</v>
      </c>
      <c r="U240" t="str">
        <f ca="1">IFERROR(__xludf.DUMMYFUNCTION("""COMPUTED_VALUE"""),"21.12.2022 ДР")</f>
        <v>21.12.2022 ДР</v>
      </c>
      <c r="Z240" t="str">
        <f ca="1">IFERROR(__xludf.DUMMYFUNCTION("""COMPUTED_VALUE"""),"ФЛП  УДОВЕНКО ИРИНА АЛЕКСАНДРОВНА")</f>
        <v>ФЛП  УДОВЕНКО ИРИНА АЛЕКСАНДРОВНА</v>
      </c>
      <c r="AA240" t="str">
        <f ca="1">IFERROR(__xludf.DUMMYFUNCTION("""COMPUTED_VALUE"""),"11-270")</f>
        <v>11-270</v>
      </c>
      <c r="AB240" t="str">
        <f ca="1">IFERROR(__xludf.DUMMYFUNCTION("""COMPUTED_VALUE"""),"40 ОД")</f>
        <v>40 ОД</v>
      </c>
      <c r="AC240" t="str">
        <f ca="1">IFERROR(__xludf.DUMMYFUNCTION("""COMPUTED_VALUE"""),"41000 ЗНАМЕНКА")</f>
        <v>41000 ЗНАМЕНКА</v>
      </c>
      <c r="AD240" t="str">
        <f ca="1">IFERROR(__xludf.DUMMYFUNCTION("""COMPUTED_VALUE"""),"09.11.20 07-10")</f>
        <v>09.11.20 07-10</v>
      </c>
      <c r="AE240" t="str">
        <f ca="1">IFERROR(__xludf.DUMMYFUNCTION("""COMPUTED_VALUE"""),"102 ТOНКИЙ ГPEБEНЬ")</f>
        <v>102 ТOНКИЙ ГPEБEНЬ</v>
      </c>
      <c r="AF240" t="str">
        <f ca="1">IFERROR(__xludf.DUMMYFUNCTION("""COMPUTED_VALUE"""),"40 ОД")</f>
        <v>40 ОД</v>
      </c>
      <c r="AG240" t="str">
        <f ca="1">IFERROR(__xludf.DUMMYFUNCTION("""COMPUTED_VALUE"""),"41000 ЗНАМЕНКА")</f>
        <v>41000 ЗНАМЕНКА</v>
      </c>
      <c r="AH240" t="str">
        <f ca="1">IFERROR(__xludf.DUMMYFUNCTION("""COMPUTED_VALUE"""),"11.11.20 15-15")</f>
        <v>11.11.20 15-15</v>
      </c>
      <c r="AI240" s="21">
        <f ca="1">IFERROR(__xludf.DUMMYFUNCTION("""COMPUTED_VALUE"""),44420.3576851851)</f>
        <v>44420.357685185103</v>
      </c>
    </row>
    <row r="241" spans="1:35" ht="13" x14ac:dyDescent="0.15">
      <c r="A241">
        <f ca="1">IFERROR(__xludf.DUMMYFUNCTION("""COMPUTED_VALUE"""),1384)</f>
        <v>1384</v>
      </c>
      <c r="B241" t="str">
        <f ca="1">IFERROR(__xludf.DUMMYFUNCTION("""COMPUTED_VALUE"""),"Илит")</f>
        <v>Илит</v>
      </c>
      <c r="C241" t="str">
        <f ca="1">IFERROR(__xludf.DUMMYFUNCTION("""COMPUTED_VALUE"""),"Илит")</f>
        <v>Илит</v>
      </c>
      <c r="D241">
        <f ca="1">IFERROR(__xludf.DUMMYFUNCTION("""COMPUTED_VALUE"""),24209827)</f>
        <v>24209827</v>
      </c>
      <c r="E241" t="str">
        <f ca="1">IFERROR(__xludf.DUMMYFUNCTION("""COMPUTED_VALUE"""),"20 КРЫТЫЕ")</f>
        <v>20 КРЫТЫЕ</v>
      </c>
      <c r="F241">
        <f ca="1">IFERROR(__xludf.DUMMYFUNCTION("""COMPUTED_VALUE"""),42103)</f>
        <v>42103</v>
      </c>
      <c r="G241" t="str">
        <f ca="1">IFERROR(__xludf.DUMMYFUNCTION("""COMPUTED_VALUE"""),"ВАГОНЫ ЖД СВ")</f>
        <v>ВАГОНЫ ЖД СВ</v>
      </c>
      <c r="H241">
        <f ca="1">IFERROR(__xludf.DUMMYFUNCTION("""COMPUTED_VALUE"""),0)</f>
        <v>0</v>
      </c>
      <c r="I241">
        <f ca="1">IFERROR(__xludf.DUMMYFUNCTION("""COMPUTED_VALUE"""),3430)</f>
        <v>3430</v>
      </c>
      <c r="J241" t="str">
        <f ca="1">IFERROR(__xludf.DUMMYFUNCTION("""COMPUTED_VALUE"""),"3632 (32040-006-32000) ГРУШКИ - ДАРНИЦА")</f>
        <v>3632 (32040-006-32000) ГРУШКИ - ДАРНИЦА</v>
      </c>
      <c r="K241">
        <f ca="1">IFERROR(__xludf.DUMMYFUNCTION("""COMPUTED_VALUE"""),32000)</f>
        <v>32000</v>
      </c>
      <c r="L241" t="str">
        <f ca="1">IFERROR(__xludf.DUMMYFUNCTION("""COMPUTED_VALUE"""),"ДАРНИЦА")</f>
        <v>ДАРНИЦА</v>
      </c>
      <c r="M241" t="str">
        <f ca="1">IFERROR(__xludf.DUMMYFUNCTION("""COMPUTED_VALUE"""),"12.08.21 01-01")</f>
        <v>12.08.21 01-01</v>
      </c>
      <c r="N241" t="str">
        <f ca="1">IFERROR(__xludf.DUMMYFUNCTION("""COMPUTED_VALUE"""),"04 РАСФ")</f>
        <v>04 РАСФ</v>
      </c>
      <c r="O241">
        <f ca="1">IFERROR(__xludf.DUMMYFUNCTION("""COMPUTED_VALUE"""),34350)</f>
        <v>34350</v>
      </c>
      <c r="P241" t="str">
        <f ca="1">IFERROR(__xludf.DUMMYFUNCTION("""COMPUTED_VALUE"""),"ФАСТОВ I")</f>
        <v>ФАСТОВ I</v>
      </c>
      <c r="Q241">
        <f ca="1">IFERROR(__xludf.DUMMYFUNCTION("""COMPUTED_VALUE"""),32040)</f>
        <v>32040</v>
      </c>
      <c r="R241" t="str">
        <f ca="1">IFERROR(__xludf.DUMMYFUNCTION("""COMPUTED_VALUE"""),"ГРУШКИ")</f>
        <v>ГРУШКИ</v>
      </c>
      <c r="S241" t="str">
        <f ca="1">IFERROR(__xludf.DUMMYFUNCTION("""COMPUTED_VALUE"""),"08.08.21 08-00")</f>
        <v>08.08.21 08-00</v>
      </c>
      <c r="T241">
        <f ca="1">IFERROR(__xludf.DUMMYFUNCTION("""COMPUTED_VALUE"""),1956)</f>
        <v>1956</v>
      </c>
      <c r="U241" t="str">
        <f ca="1">IFERROR(__xludf.DUMMYFUNCTION("""COMPUTED_VALUE"""),"11.11.2022 ДР")</f>
        <v>11.11.2022 ДР</v>
      </c>
      <c r="AA241" t="str">
        <f ca="1">IFERROR(__xludf.DUMMYFUNCTION("""COMPUTED_VALUE"""),"11-217")</f>
        <v>11-217</v>
      </c>
      <c r="AB241" t="str">
        <f ca="1">IFERROR(__xludf.DUMMYFUNCTION("""COMPUTED_VALUE"""),"43 ЮЖН")</f>
        <v>43 ЮЖН</v>
      </c>
      <c r="AC241" t="str">
        <f ca="1">IFERROR(__xludf.DUMMYFUNCTION("""COMPUTED_VALUE"""),"44020 ОСНОВА")</f>
        <v>44020 ОСНОВА</v>
      </c>
      <c r="AD241" t="str">
        <f ca="1">IFERROR(__xludf.DUMMYFUNCTION("""COMPUTED_VALUE"""),"20.03.21 11-30")</f>
        <v>20.03.21 11-30</v>
      </c>
      <c r="AE241" t="str">
        <f ca="1">IFERROR(__xludf.DUMMYFUNCTION("""COMPUTED_VALUE"""),"537 НEИCПPAВНOCТЬ ЗAПOPA ДВEPИ")</f>
        <v>537 НEИCПPAВНOCТЬ ЗAПOPA ДВEPИ</v>
      </c>
      <c r="AF241" t="str">
        <f ca="1">IFERROR(__xludf.DUMMYFUNCTION("""COMPUTED_VALUE"""),"43 ЮЖН")</f>
        <v>43 ЮЖН</v>
      </c>
      <c r="AG241" t="str">
        <f ca="1">IFERROR(__xludf.DUMMYFUNCTION("""COMPUTED_VALUE"""),"44020 ОСНОВА")</f>
        <v>44020 ОСНОВА</v>
      </c>
      <c r="AH241" t="str">
        <f ca="1">IFERROR(__xludf.DUMMYFUNCTION("""COMPUTED_VALUE"""),"24.03.21 17-20")</f>
        <v>24.03.21 17-20</v>
      </c>
      <c r="AI241" s="21">
        <f ca="1">IFERROR(__xludf.DUMMYFUNCTION("""COMPUTED_VALUE"""),44420.3576851851)</f>
        <v>44420.357685185103</v>
      </c>
    </row>
    <row r="242" spans="1:35" ht="13" x14ac:dyDescent="0.15">
      <c r="A242">
        <f ca="1">IFERROR(__xludf.DUMMYFUNCTION("""COMPUTED_VALUE"""),1385)</f>
        <v>1385</v>
      </c>
      <c r="B242" t="str">
        <f ca="1">IFERROR(__xludf.DUMMYFUNCTION("""COMPUTED_VALUE"""),"Илит")</f>
        <v>Илит</v>
      </c>
      <c r="C242" t="str">
        <f ca="1">IFERROR(__xludf.DUMMYFUNCTION("""COMPUTED_VALUE"""),"Илит")</f>
        <v>Илит</v>
      </c>
      <c r="D242">
        <f ca="1">IFERROR(__xludf.DUMMYFUNCTION("""COMPUTED_VALUE"""),24209769)</f>
        <v>24209769</v>
      </c>
      <c r="E242" t="str">
        <f ca="1">IFERROR(__xludf.DUMMYFUNCTION("""COMPUTED_VALUE"""),"20 КРЫТЫЕ")</f>
        <v>20 КРЫТЫЕ</v>
      </c>
      <c r="F242">
        <f ca="1">IFERROR(__xludf.DUMMYFUNCTION("""COMPUTED_VALUE"""),42103)</f>
        <v>42103</v>
      </c>
      <c r="G242" t="str">
        <f ca="1">IFERROR(__xludf.DUMMYFUNCTION("""COMPUTED_VALUE"""),"ВАГОНЫ ЖД СВ")</f>
        <v>ВАГОНЫ ЖД СВ</v>
      </c>
      <c r="H242">
        <f ca="1">IFERROR(__xludf.DUMMYFUNCTION("""COMPUTED_VALUE"""),0)</f>
        <v>0</v>
      </c>
      <c r="I242">
        <f ca="1">IFERROR(__xludf.DUMMYFUNCTION("""COMPUTED_VALUE"""),9120)</f>
        <v>9120</v>
      </c>
      <c r="J242" t="str">
        <f ca="1">IFERROR(__xludf.DUMMYFUNCTION("""COMPUTED_VALUE"""),"5555 (40000-413-00010) ОДЕССА-СОРТ -")</f>
        <v>5555 (40000-413-00010) ОДЕССА-СОРТ -</v>
      </c>
      <c r="K242">
        <f ca="1">IFERROR(__xludf.DUMMYFUNCTION("""COMPUTED_VALUE"""),40000)</f>
        <v>40000</v>
      </c>
      <c r="L242" t="str">
        <f ca="1">IFERROR(__xludf.DUMMYFUNCTION("""COMPUTED_VALUE"""),"ОДЕССА-СОРТ")</f>
        <v>ОДЕССА-СОРТ</v>
      </c>
      <c r="M242" t="str">
        <f ca="1">IFERROR(__xludf.DUMMYFUNCTION("""COMPUTED_VALUE"""),"12.08.21 03-24")</f>
        <v>12.08.21 03-24</v>
      </c>
      <c r="N242" t="str">
        <f ca="1">IFERROR(__xludf.DUMMYFUNCTION("""COMPUTED_VALUE"""),"04 РАСФ")</f>
        <v>04 РАСФ</v>
      </c>
      <c r="O242">
        <f ca="1">IFERROR(__xludf.DUMMYFUNCTION("""COMPUTED_VALUE"""),41790)</f>
        <v>41790</v>
      </c>
      <c r="P242" t="str">
        <f ca="1">IFERROR(__xludf.DUMMYFUNCTION("""COMPUTED_VALUE"""),"ХЕРСОН-ПОРТ")</f>
        <v>ХЕРСОН-ПОРТ</v>
      </c>
      <c r="Q242">
        <f ca="1">IFERROR(__xludf.DUMMYFUNCTION("""COMPUTED_VALUE"""),40510)</f>
        <v>40510</v>
      </c>
      <c r="R242" t="str">
        <f ca="1">IFERROR(__xludf.DUMMYFUNCTION("""COMPUTED_VALUE"""),"ОДЕССА-ЗАС I")</f>
        <v>ОДЕССА-ЗАС I</v>
      </c>
      <c r="S242" t="str">
        <f ca="1">IFERROR(__xludf.DUMMYFUNCTION("""COMPUTED_VALUE"""),"02.08.21 15-30")</f>
        <v>02.08.21 15-30</v>
      </c>
      <c r="T242">
        <f ca="1">IFERROR(__xludf.DUMMYFUNCTION("""COMPUTED_VALUE"""),1956)</f>
        <v>1956</v>
      </c>
      <c r="U242" t="str">
        <f ca="1">IFERROR(__xludf.DUMMYFUNCTION("""COMPUTED_VALUE"""),"11.11.2022 ДР")</f>
        <v>11.11.2022 ДР</v>
      </c>
      <c r="AA242" t="str">
        <f ca="1">IFERROR(__xludf.DUMMYFUNCTION("""COMPUTED_VALUE"""),"11-217")</f>
        <v>11-217</v>
      </c>
      <c r="AB242" t="str">
        <f ca="1">IFERROR(__xludf.DUMMYFUNCTION("""COMPUTED_VALUE"""),"43 ЮЖН")</f>
        <v>43 ЮЖН</v>
      </c>
      <c r="AC242" t="str">
        <f ca="1">IFERROR(__xludf.DUMMYFUNCTION("""COMPUTED_VALUE"""),"44020 ОСНОВА")</f>
        <v>44020 ОСНОВА</v>
      </c>
      <c r="AD242" t="str">
        <f ca="1">IFERROR(__xludf.DUMMYFUNCTION("""COMPUTED_VALUE"""),"15.04.21 04-37")</f>
        <v>15.04.21 04-37</v>
      </c>
      <c r="AE242" t="str">
        <f ca="1">IFERROR(__xludf.DUMMYFUNCTION("""COMPUTED_VALUE"""),"537 НEИCПPAВНOCТЬ ЗAПOPA ДВEPИ")</f>
        <v>537 НEИCПPAВНOCТЬ ЗAПOPA ДВEPИ</v>
      </c>
      <c r="AF242" t="str">
        <f ca="1">IFERROR(__xludf.DUMMYFUNCTION("""COMPUTED_VALUE"""),"43 ЮЖН")</f>
        <v>43 ЮЖН</v>
      </c>
      <c r="AG242" t="str">
        <f ca="1">IFERROR(__xludf.DUMMYFUNCTION("""COMPUTED_VALUE"""),"44020 ОСНОВА")</f>
        <v>44020 ОСНОВА</v>
      </c>
      <c r="AH242" t="str">
        <f ca="1">IFERROR(__xludf.DUMMYFUNCTION("""COMPUTED_VALUE"""),"19.04.21 17-30")</f>
        <v>19.04.21 17-30</v>
      </c>
      <c r="AI242" s="21">
        <f ca="1">IFERROR(__xludf.DUMMYFUNCTION("""COMPUTED_VALUE"""),44420.3576851851)</f>
        <v>44420.357685185103</v>
      </c>
    </row>
    <row r="243" spans="1:35" ht="13" x14ac:dyDescent="0.15">
      <c r="A243">
        <f ca="1">IFERROR(__xludf.DUMMYFUNCTION("""COMPUTED_VALUE"""),1386)</f>
        <v>1386</v>
      </c>
      <c r="B243" t="str">
        <f ca="1">IFERROR(__xludf.DUMMYFUNCTION("""COMPUTED_VALUE"""),"Илит")</f>
        <v>Илит</v>
      </c>
      <c r="C243" t="str">
        <f ca="1">IFERROR(__xludf.DUMMYFUNCTION("""COMPUTED_VALUE"""),"Илит")</f>
        <v>Илит</v>
      </c>
      <c r="D243">
        <f ca="1">IFERROR(__xludf.DUMMYFUNCTION("""COMPUTED_VALUE"""),24200081)</f>
        <v>24200081</v>
      </c>
      <c r="E243" t="str">
        <f ca="1">IFERROR(__xludf.DUMMYFUNCTION("""COMPUTED_VALUE"""),"20 КРЫТЫЕ")</f>
        <v>20 КРЫТЫЕ</v>
      </c>
      <c r="F243">
        <f ca="1">IFERROR(__xludf.DUMMYFUNCTION("""COMPUTED_VALUE"""),42103)</f>
        <v>42103</v>
      </c>
      <c r="G243" t="str">
        <f ca="1">IFERROR(__xludf.DUMMYFUNCTION("""COMPUTED_VALUE"""),"ВАГОНЫ ЖД СВ")</f>
        <v>ВАГОНЫ ЖД СВ</v>
      </c>
      <c r="H243">
        <f ca="1">IFERROR(__xludf.DUMMYFUNCTION("""COMPUTED_VALUE"""),0)</f>
        <v>0</v>
      </c>
      <c r="I243">
        <f ca="1">IFERROR(__xludf.DUMMYFUNCTION("""COMPUTED_VALUE"""),8199)</f>
        <v>8199</v>
      </c>
      <c r="J243" t="str">
        <f ca="1">IFERROR(__xludf.DUMMYFUNCTION("""COMPUTED_VALUE"""),"1111 (38840-017-38850) ИВАНО-ФРАНК - ХРЫПЛИН")</f>
        <v>1111 (38840-017-38850) ИВАНО-ФРАНК - ХРЫПЛИН</v>
      </c>
      <c r="K243">
        <f ca="1">IFERROR(__xludf.DUMMYFUNCTION("""COMPUTED_VALUE"""),38840)</f>
        <v>38840</v>
      </c>
      <c r="L243" t="str">
        <f ca="1">IFERROR(__xludf.DUMMYFUNCTION("""COMPUTED_VALUE"""),"ИВАНО-ФРАНК")</f>
        <v>ИВАНО-ФРАНК</v>
      </c>
      <c r="M243" t="str">
        <f ca="1">IFERROR(__xludf.DUMMYFUNCTION("""COMPUTED_VALUE"""),"12.08.21 00-06")</f>
        <v>12.08.21 00-06</v>
      </c>
      <c r="N243" t="str">
        <f ca="1">IFERROR(__xludf.DUMMYFUNCTION("""COMPUTED_VALUE"""),"05 ФОРМ")</f>
        <v>05 ФОРМ</v>
      </c>
      <c r="O243">
        <f ca="1">IFERROR(__xludf.DUMMYFUNCTION("""COMPUTED_VALUE"""),38830)</f>
        <v>38830</v>
      </c>
      <c r="P243" t="str">
        <f ca="1">IFERROR(__xludf.DUMMYFUNCTION("""COMPUTED_VALUE"""),"ЯМНИЦА")</f>
        <v>ЯМНИЦА</v>
      </c>
      <c r="Q243">
        <f ca="1">IFERROR(__xludf.DUMMYFUNCTION("""COMPUTED_VALUE"""),38840)</f>
        <v>38840</v>
      </c>
      <c r="R243" t="str">
        <f ca="1">IFERROR(__xludf.DUMMYFUNCTION("""COMPUTED_VALUE"""),"ИВАНО-ФРАНК")</f>
        <v>ИВАНО-ФРАНК</v>
      </c>
      <c r="S243" t="str">
        <f ca="1">IFERROR(__xludf.DUMMYFUNCTION("""COMPUTED_VALUE"""),"11.08.21 17-55")</f>
        <v>11.08.21 17-55</v>
      </c>
      <c r="T243">
        <f ca="1">IFERROR(__xludf.DUMMYFUNCTION("""COMPUTED_VALUE"""),1956)</f>
        <v>1956</v>
      </c>
      <c r="U243" t="str">
        <f ca="1">IFERROR(__xludf.DUMMYFUNCTION("""COMPUTED_VALUE"""),"18.12.2023 ДР")</f>
        <v>18.12.2023 ДР</v>
      </c>
      <c r="Z243" t="str">
        <f ca="1">IFERROR(__xludf.DUMMYFUNCTION("""COMPUTED_VALUE"""),"ООО «СТК «РОУД»")</f>
        <v>ООО «СТК «РОУД»</v>
      </c>
      <c r="AA243" t="str">
        <f ca="1">IFERROR(__xludf.DUMMYFUNCTION("""COMPUTED_VALUE"""),"11-217")</f>
        <v>11-217</v>
      </c>
      <c r="AB243" t="str">
        <f ca="1">IFERROR(__xludf.DUMMYFUNCTION("""COMPUTED_VALUE"""),"43 ЮЖН")</f>
        <v>43 ЮЖН</v>
      </c>
      <c r="AC243" t="str">
        <f ca="1">IFERROR(__xludf.DUMMYFUNCTION("""COMPUTED_VALUE"""),"44020 ОСНОВА")</f>
        <v>44020 ОСНОВА</v>
      </c>
      <c r="AD243" t="str">
        <f ca="1">IFERROR(__xludf.DUMMYFUNCTION("""COMPUTED_VALUE"""),"19.07.21 15-43")</f>
        <v>19.07.21 15-43</v>
      </c>
      <c r="AE243" t="str">
        <f ca="1">IFERROR(__xludf.DUMMYFUNCTION("""COMPUTED_VALUE"""),"405 НEИCПPAВНOCТЬ КOНЦEВOГO КPAНA")</f>
        <v>405 НEИCПPAВНOCТЬ КOНЦEВOГO КPAНA</v>
      </c>
      <c r="AF243" t="str">
        <f ca="1">IFERROR(__xludf.DUMMYFUNCTION("""COMPUTED_VALUE"""),"43 ЮЖН")</f>
        <v>43 ЮЖН</v>
      </c>
      <c r="AG243" t="str">
        <f ca="1">IFERROR(__xludf.DUMMYFUNCTION("""COMPUTED_VALUE"""),"44020 ОСНОВА")</f>
        <v>44020 ОСНОВА</v>
      </c>
      <c r="AH243" t="str">
        <f ca="1">IFERROR(__xludf.DUMMYFUNCTION("""COMPUTED_VALUE"""),"20.07.21 17-20")</f>
        <v>20.07.21 17-20</v>
      </c>
      <c r="AI243" s="21">
        <f ca="1">IFERROR(__xludf.DUMMYFUNCTION("""COMPUTED_VALUE"""),44420.3576851851)</f>
        <v>44420.357685185103</v>
      </c>
    </row>
    <row r="244" spans="1:35" ht="13" x14ac:dyDescent="0.15">
      <c r="A244">
        <f ca="1">IFERROR(__xludf.DUMMYFUNCTION("""COMPUTED_VALUE"""),1387)</f>
        <v>1387</v>
      </c>
      <c r="B244" t="str">
        <f ca="1">IFERROR(__xludf.DUMMYFUNCTION("""COMPUTED_VALUE"""),"Илит")</f>
        <v>Илит</v>
      </c>
      <c r="C244" t="str">
        <f ca="1">IFERROR(__xludf.DUMMYFUNCTION("""COMPUTED_VALUE"""),"Илит")</f>
        <v>Илит</v>
      </c>
      <c r="D244">
        <f ca="1">IFERROR(__xludf.DUMMYFUNCTION("""COMPUTED_VALUE"""),52428273)</f>
        <v>52428273</v>
      </c>
      <c r="E244" t="str">
        <f ca="1">IFERROR(__xludf.DUMMYFUNCTION("""COMPUTED_VALUE"""),"20 КРЫТЫЕ")</f>
        <v>20 КРЫТЫЕ</v>
      </c>
      <c r="F244">
        <f ca="1">IFERROR(__xludf.DUMMYFUNCTION("""COMPUTED_VALUE"""),28114)</f>
        <v>28114</v>
      </c>
      <c r="G244" t="str">
        <f ca="1">IFERROR(__xludf.DUMMYFUNCTION("""COMPUTED_VALUE"""),"ЦЕМЕНТ ПР")</f>
        <v>ЦЕМЕНТ ПР</v>
      </c>
      <c r="H244">
        <f ca="1">IFERROR(__xludf.DUMMYFUNCTION("""COMPUTED_VALUE"""),68)</f>
        <v>68</v>
      </c>
      <c r="I244">
        <f ca="1">IFERROR(__xludf.DUMMYFUNCTION("""COMPUTED_VALUE"""),3014)</f>
        <v>3014</v>
      </c>
      <c r="J244" t="str">
        <f ca="1">IFERROR(__xludf.DUMMYFUNCTION("""COMPUTED_VALUE"""),"9502 (37000-565-32000) ЛЬВОВ - ДАРНИЦА")</f>
        <v>9502 (37000-565-32000) ЛЬВОВ - ДАРНИЦА</v>
      </c>
      <c r="K244">
        <f ca="1">IFERROR(__xludf.DUMMYFUNCTION("""COMPUTED_VALUE"""),34260)</f>
        <v>34260</v>
      </c>
      <c r="L244" t="str">
        <f ca="1">IFERROR(__xludf.DUMMYFUNCTION("""COMPUTED_VALUE"""),"КАЗАТИН II")</f>
        <v>КАЗАТИН II</v>
      </c>
      <c r="M244" t="str">
        <f ca="1">IFERROR(__xludf.DUMMYFUNCTION("""COMPUTED_VALUE"""),"11.08.21 20-00")</f>
        <v>11.08.21 20-00</v>
      </c>
      <c r="N244" t="str">
        <f ca="1">IFERROR(__xludf.DUMMYFUNCTION("""COMPUTED_VALUE"""),"01 ПРИБ")</f>
        <v>01 ПРИБ</v>
      </c>
      <c r="O244">
        <f ca="1">IFERROR(__xludf.DUMMYFUNCTION("""COMPUTED_VALUE"""),44540)</f>
        <v>44540</v>
      </c>
      <c r="P244" t="str">
        <f ca="1">IFERROR(__xludf.DUMMYFUNCTION("""COMPUTED_VALUE"""),"СУМЫ-ТОВ")</f>
        <v>СУМЫ-ТОВ</v>
      </c>
      <c r="Q244">
        <f ca="1">IFERROR(__xludf.DUMMYFUNCTION("""COMPUTED_VALUE"""),38830)</f>
        <v>38830</v>
      </c>
      <c r="R244" t="str">
        <f ca="1">IFERROR(__xludf.DUMMYFUNCTION("""COMPUTED_VALUE"""),"ЯМНИЦА")</f>
        <v>ЯМНИЦА</v>
      </c>
      <c r="S244" t="str">
        <f ca="1">IFERROR(__xludf.DUMMYFUNCTION("""COMPUTED_VALUE"""),"05.08.21 11-00")</f>
        <v>05.08.21 11-00</v>
      </c>
      <c r="T244">
        <f ca="1">IFERROR(__xludf.DUMMYFUNCTION("""COMPUTED_VALUE"""),8199)</f>
        <v>8199</v>
      </c>
      <c r="U244" t="str">
        <f ca="1">IFERROR(__xludf.DUMMYFUNCTION("""COMPUTED_VALUE"""),"30.07.2022 ДР")</f>
        <v>30.07.2022 ДР</v>
      </c>
      <c r="Z244" t="str">
        <f ca="1">IFERROR(__xludf.DUMMYFUNCTION("""COMPUTED_VALUE"""),"ООО ""АЗОВЕВРОТРАНС""")</f>
        <v>ООО "АЗОВЕВРОТРАНС"</v>
      </c>
      <c r="AA244" t="str">
        <f ca="1">IFERROR(__xludf.DUMMYFUNCTION("""COMPUTED_VALUE"""),"11-270")</f>
        <v>11-270</v>
      </c>
      <c r="AB244" t="str">
        <f ca="1">IFERROR(__xludf.DUMMYFUNCTION("""COMPUTED_VALUE"""),"32 Ю-ЗАП")</f>
        <v>32 Ю-ЗАП</v>
      </c>
      <c r="AC244" t="str">
        <f ca="1">IFERROR(__xludf.DUMMYFUNCTION("""COMPUTED_VALUE"""),"34440 МИРОНОВКА")</f>
        <v>34440 МИРОНОВКА</v>
      </c>
      <c r="AD244" t="str">
        <f ca="1">IFERROR(__xludf.DUMMYFUNCTION("""COMPUTED_VALUE"""),"24.06.21 12-05")</f>
        <v>24.06.21 12-05</v>
      </c>
      <c r="AE244" t="str">
        <f ca="1">IFERROR(__xludf.DUMMYFUNCTION("""COMPUTED_VALUE"""),"157")</f>
        <v>157</v>
      </c>
      <c r="AF244" t="str">
        <f ca="1">IFERROR(__xludf.DUMMYFUNCTION("""COMPUTED_VALUE"""),"32 Ю-ЗАП")</f>
        <v>32 Ю-ЗАП</v>
      </c>
      <c r="AG244" t="str">
        <f ca="1">IFERROR(__xludf.DUMMYFUNCTION("""COMPUTED_VALUE"""),"34440 МИРОНОВКА")</f>
        <v>34440 МИРОНОВКА</v>
      </c>
      <c r="AH244" t="str">
        <f ca="1">IFERROR(__xludf.DUMMYFUNCTION("""COMPUTED_VALUE"""),"10.07.21 11-00")</f>
        <v>10.07.21 11-00</v>
      </c>
      <c r="AI244" s="21">
        <f ca="1">IFERROR(__xludf.DUMMYFUNCTION("""COMPUTED_VALUE"""),44420.3576851851)</f>
        <v>44420.357685185103</v>
      </c>
    </row>
    <row r="245" spans="1:35" ht="13" x14ac:dyDescent="0.15">
      <c r="A245">
        <f ca="1">IFERROR(__xludf.DUMMYFUNCTION("""COMPUTED_VALUE"""),1388)</f>
        <v>1388</v>
      </c>
      <c r="B245" t="str">
        <f ca="1">IFERROR(__xludf.DUMMYFUNCTION("""COMPUTED_VALUE"""),"Илит")</f>
        <v>Илит</v>
      </c>
      <c r="C245" t="str">
        <f ca="1">IFERROR(__xludf.DUMMYFUNCTION("""COMPUTED_VALUE"""),"Илит")</f>
        <v>Илит</v>
      </c>
      <c r="D245">
        <f ca="1">IFERROR(__xludf.DUMMYFUNCTION("""COMPUTED_VALUE"""),24346140)</f>
        <v>24346140</v>
      </c>
      <c r="E245" t="str">
        <f ca="1">IFERROR(__xludf.DUMMYFUNCTION("""COMPUTED_VALUE"""),"20 КРЫТЫЕ")</f>
        <v>20 КРЫТЫЕ</v>
      </c>
      <c r="F245">
        <f ca="1">IFERROR(__xludf.DUMMYFUNCTION("""COMPUTED_VALUE"""),42103)</f>
        <v>42103</v>
      </c>
      <c r="G245" t="str">
        <f ca="1">IFERROR(__xludf.DUMMYFUNCTION("""COMPUTED_VALUE"""),"ВАГОНЫ ЖД СВ")</f>
        <v>ВАГОНЫ ЖД СВ</v>
      </c>
      <c r="H245">
        <f ca="1">IFERROR(__xludf.DUMMYFUNCTION("""COMPUTED_VALUE"""),0)</f>
        <v>0</v>
      </c>
      <c r="I245">
        <f ca="1">IFERROR(__xludf.DUMMYFUNCTION("""COMPUTED_VALUE"""),4149)</f>
        <v>4149</v>
      </c>
      <c r="J245" t="str">
        <f ca="1">IFERROR(__xludf.DUMMYFUNCTION("""COMPUTED_VALUE"""),"3624 (44020-107-44000) ОСНОВА - ХАРЬКОВ-СОРТ")</f>
        <v>3624 (44020-107-44000) ОСНОВА - ХАРЬКОВ-СОРТ</v>
      </c>
      <c r="K245">
        <f ca="1">IFERROR(__xludf.DUMMYFUNCTION("""COMPUTED_VALUE"""),44000)</f>
        <v>44000</v>
      </c>
      <c r="L245" t="str">
        <f ca="1">IFERROR(__xludf.DUMMYFUNCTION("""COMPUTED_VALUE"""),"ХАРЬКОВ-СОРТ")</f>
        <v>ХАРЬКОВ-СОРТ</v>
      </c>
      <c r="M245" t="str">
        <f ca="1">IFERROR(__xludf.DUMMYFUNCTION("""COMPUTED_VALUE"""),"10.08.21 19-00")</f>
        <v>10.08.21 19-00</v>
      </c>
      <c r="N245" t="str">
        <f ca="1">IFERROR(__xludf.DUMMYFUNCTION("""COMPUTED_VALUE"""),"92 ЗДРЖ")</f>
        <v>92 ЗДРЖ</v>
      </c>
      <c r="O245">
        <f ca="1">IFERROR(__xludf.DUMMYFUNCTION("""COMPUTED_VALUE"""),49620)</f>
        <v>49620</v>
      </c>
      <c r="P245" t="str">
        <f ca="1">IFERROR(__xludf.DUMMYFUNCTION("""COMPUTED_VALUE"""),"ДЕКОНСКАЯ")</f>
        <v>ДЕКОНСКАЯ</v>
      </c>
      <c r="Q245">
        <f ca="1">IFERROR(__xludf.DUMMYFUNCTION("""COMPUTED_VALUE"""),44000)</f>
        <v>44000</v>
      </c>
      <c r="R245" t="str">
        <f ca="1">IFERROR(__xludf.DUMMYFUNCTION("""COMPUTED_VALUE"""),"ХАРЬКОВ-СОРТ")</f>
        <v>ХАРЬКОВ-СОРТ</v>
      </c>
      <c r="S245" t="str">
        <f ca="1">IFERROR(__xludf.DUMMYFUNCTION("""COMPUTED_VALUE"""),"10.08.21 19-00")</f>
        <v>10.08.21 19-00</v>
      </c>
      <c r="T245">
        <f ca="1">IFERROR(__xludf.DUMMYFUNCTION("""COMPUTED_VALUE"""),1956)</f>
        <v>1956</v>
      </c>
      <c r="U245" t="str">
        <f ca="1">IFERROR(__xludf.DUMMYFUNCTION("""COMPUTED_VALUE"""),"12.02.2022 ДР")</f>
        <v>12.02.2022 ДР</v>
      </c>
      <c r="Z245" t="str">
        <f ca="1">IFERROR(__xludf.DUMMYFUNCTION("""COMPUTED_VALUE"""),"ООО «БОРВИЙТРАНС»")</f>
        <v>ООО «БОРВИЙТРАНС»</v>
      </c>
      <c r="AA245" t="str">
        <f ca="1">IFERROR(__xludf.DUMMYFUNCTION("""COMPUTED_VALUE"""),"11-270")</f>
        <v>11-270</v>
      </c>
      <c r="AB245" t="str">
        <f ca="1">IFERROR(__xludf.DUMMYFUNCTION("""COMPUTED_VALUE"""),"43 ЮЖН")</f>
        <v>43 ЮЖН</v>
      </c>
      <c r="AC245" t="str">
        <f ca="1">IFERROR(__xludf.DUMMYFUNCTION("""COMPUTED_VALUE"""),"44020 ОСНОВА")</f>
        <v>44020 ОСНОВА</v>
      </c>
      <c r="AD245" t="str">
        <f ca="1">IFERROR(__xludf.DUMMYFUNCTION("""COMPUTED_VALUE"""),"28.02.21 11-25")</f>
        <v>28.02.21 11-25</v>
      </c>
      <c r="AE245" t="str">
        <f ca="1">IFERROR(__xludf.DUMMYFUNCTION("""COMPUTED_VALUE"""),"537 НEИCПPAВНOCТЬ ЗAПOPA ДВEPИ")</f>
        <v>537 НEИCПPAВНOCТЬ ЗAПOPA ДВEPИ</v>
      </c>
      <c r="AF245" t="str">
        <f ca="1">IFERROR(__xludf.DUMMYFUNCTION("""COMPUTED_VALUE"""),"43 ЮЖН")</f>
        <v>43 ЮЖН</v>
      </c>
      <c r="AG245" t="str">
        <f ca="1">IFERROR(__xludf.DUMMYFUNCTION("""COMPUTED_VALUE"""),"44020 ОСНОВА")</f>
        <v>44020 ОСНОВА</v>
      </c>
      <c r="AH245" t="str">
        <f ca="1">IFERROR(__xludf.DUMMYFUNCTION("""COMPUTED_VALUE"""),"03.03.21 17-20")</f>
        <v>03.03.21 17-20</v>
      </c>
      <c r="AI245" s="21">
        <f ca="1">IFERROR(__xludf.DUMMYFUNCTION("""COMPUTED_VALUE"""),44420.3576851851)</f>
        <v>44420.357685185103</v>
      </c>
    </row>
    <row r="246" spans="1:35" ht="13" x14ac:dyDescent="0.15">
      <c r="A246">
        <f ca="1">IFERROR(__xludf.DUMMYFUNCTION("""COMPUTED_VALUE"""),1389)</f>
        <v>1389</v>
      </c>
      <c r="B246" t="str">
        <f ca="1">IFERROR(__xludf.DUMMYFUNCTION("""COMPUTED_VALUE"""),"Илит")</f>
        <v>Илит</v>
      </c>
      <c r="C246" t="str">
        <f ca="1">IFERROR(__xludf.DUMMYFUNCTION("""COMPUTED_VALUE"""),"Илит")</f>
        <v>Илит</v>
      </c>
      <c r="D246">
        <f ca="1">IFERROR(__xludf.DUMMYFUNCTION("""COMPUTED_VALUE"""),52591427)</f>
        <v>52591427</v>
      </c>
      <c r="E246" t="str">
        <f ca="1">IFERROR(__xludf.DUMMYFUNCTION("""COMPUTED_VALUE"""),"20 КРЫТЫЕ")</f>
        <v>20 КРЫТЫЕ</v>
      </c>
      <c r="F246">
        <f ca="1">IFERROR(__xludf.DUMMYFUNCTION("""COMPUTED_VALUE"""),23304)</f>
        <v>23304</v>
      </c>
      <c r="G246" t="str">
        <f ca="1">IFERROR(__xludf.DUMMYFUNCTION("""COMPUTED_VALUE"""),"ГИПС ПР")</f>
        <v>ГИПС ПР</v>
      </c>
      <c r="H246">
        <f ca="1">IFERROR(__xludf.DUMMYFUNCTION("""COMPUTED_VALUE"""),66)</f>
        <v>66</v>
      </c>
      <c r="I246">
        <f ca="1">IFERROR(__xludf.DUMMYFUNCTION("""COMPUTED_VALUE"""),8676)</f>
        <v>8676</v>
      </c>
      <c r="J246" t="str">
        <f ca="1">IFERROR(__xludf.DUMMYFUNCTION("""COMPUTED_VALUE"""),"1111 (49460-043-49000) БАХМУТ - ЛИМАН")</f>
        <v>1111 (49460-043-49000) БАХМУТ - ЛИМАН</v>
      </c>
      <c r="K246">
        <f ca="1">IFERROR(__xludf.DUMMYFUNCTION("""COMPUTED_VALUE"""),49460)</f>
        <v>49460</v>
      </c>
      <c r="L246" t="str">
        <f ca="1">IFERROR(__xludf.DUMMYFUNCTION("""COMPUTED_VALUE"""),"БАХМУТ")</f>
        <v>БАХМУТ</v>
      </c>
      <c r="M246" t="str">
        <f ca="1">IFERROR(__xludf.DUMMYFUNCTION("""COMPUTED_VALUE"""),"12.08.21 04-00")</f>
        <v>12.08.21 04-00</v>
      </c>
      <c r="N246" t="str">
        <f ca="1">IFERROR(__xludf.DUMMYFUNCTION("""COMPUTED_VALUE"""),"05 ФОРМ")</f>
        <v>05 ФОРМ</v>
      </c>
      <c r="O246">
        <f ca="1">IFERROR(__xludf.DUMMYFUNCTION("""COMPUTED_VALUE"""),36000)</f>
        <v>36000</v>
      </c>
      <c r="P246" t="str">
        <f ca="1">IFERROR(__xludf.DUMMYFUNCTION("""COMPUTED_VALUE"""),"ТЕРНОПОЛЬ")</f>
        <v>ТЕРНОПОЛЬ</v>
      </c>
      <c r="Q246">
        <f ca="1">IFERROR(__xludf.DUMMYFUNCTION("""COMPUTED_VALUE"""),49620)</f>
        <v>49620</v>
      </c>
      <c r="R246" t="str">
        <f ca="1">IFERROR(__xludf.DUMMYFUNCTION("""COMPUTED_VALUE"""),"ДЕКОНСКАЯ")</f>
        <v>ДЕКОНСКАЯ</v>
      </c>
      <c r="S246" t="str">
        <f ca="1">IFERROR(__xludf.DUMMYFUNCTION("""COMPUTED_VALUE"""),"10.08.21 21-00")</f>
        <v>10.08.21 21-00</v>
      </c>
      <c r="T246">
        <f ca="1">IFERROR(__xludf.DUMMYFUNCTION("""COMPUTED_VALUE"""),4149)</f>
        <v>4149</v>
      </c>
      <c r="U246" t="str">
        <f ca="1">IFERROR(__xludf.DUMMYFUNCTION("""COMPUTED_VALUE"""),"21.11.2021 ДР")</f>
        <v>21.11.2021 ДР</v>
      </c>
      <c r="Z246" t="str">
        <f ca="1">IFERROR(__xludf.DUMMYFUNCTION("""COMPUTED_VALUE"""),"ООО ""ЭНЕРГОТРАНСФЕРТ""")</f>
        <v>ООО "ЭНЕРГОТРАНСФЕРТ"</v>
      </c>
      <c r="AA246" t="str">
        <f ca="1">IFERROR(__xludf.DUMMYFUNCTION("""COMPUTED_VALUE"""),"11-217")</f>
        <v>11-217</v>
      </c>
      <c r="AB246" t="str">
        <f ca="1">IFERROR(__xludf.DUMMYFUNCTION("""COMPUTED_VALUE"""),"43 ЮЖН")</f>
        <v>43 ЮЖН</v>
      </c>
      <c r="AC246" t="str">
        <f ca="1">IFERROR(__xludf.DUMMYFUNCTION("""COMPUTED_VALUE"""),"44020 ОСНОВА")</f>
        <v>44020 ОСНОВА</v>
      </c>
      <c r="AD246" t="str">
        <f ca="1">IFERROR(__xludf.DUMMYFUNCTION("""COMPUTED_VALUE"""),"03.04.21 05-06")</f>
        <v>03.04.21 05-06</v>
      </c>
      <c r="AE246" t="str">
        <f ca="1">IFERROR(__xludf.DUMMYFUNCTION("""COMPUTED_VALUE"""),"310 НEИCПPAВНOCТЬ КOPПУCA AВТОCЦEПКИ")</f>
        <v>310 НEИCПPAВНOCТЬ КOPПУCA AВТОCЦEПКИ</v>
      </c>
      <c r="AF246" t="str">
        <f ca="1">IFERROR(__xludf.DUMMYFUNCTION("""COMPUTED_VALUE"""),"43 ЮЖН")</f>
        <v>43 ЮЖН</v>
      </c>
      <c r="AG246" t="str">
        <f ca="1">IFERROR(__xludf.DUMMYFUNCTION("""COMPUTED_VALUE"""),"44020 ОСНОВА")</f>
        <v>44020 ОСНОВА</v>
      </c>
      <c r="AH246" t="str">
        <f ca="1">IFERROR(__xludf.DUMMYFUNCTION("""COMPUTED_VALUE"""),"07.04.21 17-10")</f>
        <v>07.04.21 17-10</v>
      </c>
      <c r="AI246" s="21">
        <f ca="1">IFERROR(__xludf.DUMMYFUNCTION("""COMPUTED_VALUE"""),44420.3576851851)</f>
        <v>44420.357685185103</v>
      </c>
    </row>
    <row r="247" spans="1:35" ht="13" x14ac:dyDescent="0.15">
      <c r="A247">
        <f ca="1">IFERROR(__xludf.DUMMYFUNCTION("""COMPUTED_VALUE"""),1390)</f>
        <v>1390</v>
      </c>
      <c r="B247" t="str">
        <f ca="1">IFERROR(__xludf.DUMMYFUNCTION("""COMPUTED_VALUE"""),"Илит")</f>
        <v>Илит</v>
      </c>
      <c r="C247" t="str">
        <f ca="1">IFERROR(__xludf.DUMMYFUNCTION("""COMPUTED_VALUE"""),"Илит")</f>
        <v>Илит</v>
      </c>
      <c r="D247">
        <f ca="1">IFERROR(__xludf.DUMMYFUNCTION("""COMPUTED_VALUE"""),24200925)</f>
        <v>24200925</v>
      </c>
      <c r="E247" t="str">
        <f ca="1">IFERROR(__xludf.DUMMYFUNCTION("""COMPUTED_VALUE"""),"20 КРЫТЫЕ")</f>
        <v>20 КРЫТЫЕ</v>
      </c>
      <c r="F247">
        <f ca="1">IFERROR(__xludf.DUMMYFUNCTION("""COMPUTED_VALUE"""),42103)</f>
        <v>42103</v>
      </c>
      <c r="G247" t="str">
        <f ca="1">IFERROR(__xludf.DUMMYFUNCTION("""COMPUTED_VALUE"""),"ВАГОНЫ ЖД СВ")</f>
        <v>ВАГОНЫ ЖД СВ</v>
      </c>
      <c r="H247">
        <f ca="1">IFERROR(__xludf.DUMMYFUNCTION("""COMPUTED_VALUE"""),0)</f>
        <v>0</v>
      </c>
      <c r="I247">
        <f ca="1">IFERROR(__xludf.DUMMYFUNCTION("""COMPUTED_VALUE"""),3418)</f>
        <v>3418</v>
      </c>
      <c r="J247" t="str">
        <f ca="1">IFERROR(__xludf.DUMMYFUNCTION("""COMPUTED_VALUE"""),"3503 (45000-350-45070) НИЖНЕДН-УЗЕЛ - НИЖНЕДН-ПРИС")</f>
        <v>3503 (45000-350-45070) НИЖНЕДН-УЗЕЛ - НИЖНЕДН-ПРИС</v>
      </c>
      <c r="K247">
        <f ca="1">IFERROR(__xludf.DUMMYFUNCTION("""COMPUTED_VALUE"""),45060)</f>
        <v>45060</v>
      </c>
      <c r="L247" t="str">
        <f ca="1">IFERROR(__xludf.DUMMYFUNCTION("""COMPUTED_VALUE"""),"НИЖНЕДНЕПРОВ")</f>
        <v>НИЖНЕДНЕПРОВ</v>
      </c>
      <c r="M247" t="str">
        <f ca="1">IFERROR(__xludf.DUMMYFUNCTION("""COMPUTED_VALUE"""),"11.08.21 17-40")</f>
        <v>11.08.21 17-40</v>
      </c>
      <c r="N247" t="str">
        <f ca="1">IFERROR(__xludf.DUMMYFUNCTION("""COMPUTED_VALUE"""),"98 ОТОТ")</f>
        <v>98 ОТОТ</v>
      </c>
      <c r="O247">
        <f ca="1">IFERROR(__xludf.DUMMYFUNCTION("""COMPUTED_VALUE"""),45060)</f>
        <v>45060</v>
      </c>
      <c r="P247" t="str">
        <f ca="1">IFERROR(__xludf.DUMMYFUNCTION("""COMPUTED_VALUE"""),"НИЖНЕДНЕПРОВ")</f>
        <v>НИЖНЕДНЕПРОВ</v>
      </c>
      <c r="Q247">
        <f ca="1">IFERROR(__xludf.DUMMYFUNCTION("""COMPUTED_VALUE"""),44000)</f>
        <v>44000</v>
      </c>
      <c r="R247" t="str">
        <f ca="1">IFERROR(__xludf.DUMMYFUNCTION("""COMPUTED_VALUE"""),"ХАРЬКОВ-СОРТ")</f>
        <v>ХАРЬКОВ-СОРТ</v>
      </c>
      <c r="S247" t="str">
        <f ca="1">IFERROR(__xludf.DUMMYFUNCTION("""COMPUTED_VALUE"""),"08.08.21 14-30")</f>
        <v>08.08.21 14-30</v>
      </c>
      <c r="T247">
        <f ca="1">IFERROR(__xludf.DUMMYFUNCTION("""COMPUTED_VALUE"""),1956)</f>
        <v>1956</v>
      </c>
      <c r="U247" t="str">
        <f ca="1">IFERROR(__xludf.DUMMYFUNCTION("""COMPUTED_VALUE"""),"18.01.2023 ДР")</f>
        <v>18.01.2023 ДР</v>
      </c>
      <c r="Z247" t="str">
        <f ca="1">IFERROR(__xludf.DUMMYFUNCTION("""COMPUTED_VALUE"""),"ООО ""Globe Trans""")</f>
        <v>ООО "Globe Trans"</v>
      </c>
      <c r="AA247" t="str">
        <f ca="1">IFERROR(__xludf.DUMMYFUNCTION("""COMPUTED_VALUE"""),"11-217")</f>
        <v>11-217</v>
      </c>
      <c r="AB247" t="str">
        <f ca="1">IFERROR(__xludf.DUMMYFUNCTION("""COMPUTED_VALUE"""),"32 Ю-ЗАП")</f>
        <v>32 Ю-ЗАП</v>
      </c>
      <c r="AC247" t="str">
        <f ca="1">IFERROR(__xludf.DUMMYFUNCTION("""COMPUTED_VALUE"""),"34350 ФАСТОВ I")</f>
        <v>34350 ФАСТОВ I</v>
      </c>
      <c r="AD247" t="str">
        <f ca="1">IFERROR(__xludf.DUMMYFUNCTION("""COMPUTED_VALUE"""),"19.07.21 14-00")</f>
        <v>19.07.21 14-00</v>
      </c>
      <c r="AE247" t="str">
        <f ca="1">IFERROR(__xludf.DUMMYFUNCTION("""COMPUTED_VALUE"""),"537 НEИCПPAВНOCТЬ ЗAПOPA ДВEPИ")</f>
        <v>537 НEИCПPAВНOCТЬ ЗAПOPA ДВEPИ</v>
      </c>
      <c r="AF247" t="str">
        <f ca="1">IFERROR(__xludf.DUMMYFUNCTION("""COMPUTED_VALUE"""),"32 Ю-ЗАП")</f>
        <v>32 Ю-ЗАП</v>
      </c>
      <c r="AG247" t="str">
        <f ca="1">IFERROR(__xludf.DUMMYFUNCTION("""COMPUTED_VALUE"""),"34350 ФАСТОВ I")</f>
        <v>34350 ФАСТОВ I</v>
      </c>
      <c r="AH247" t="str">
        <f ca="1">IFERROR(__xludf.DUMMYFUNCTION("""COMPUTED_VALUE"""),"21.07.21 16-00")</f>
        <v>21.07.21 16-00</v>
      </c>
      <c r="AI247" s="21">
        <f ca="1">IFERROR(__xludf.DUMMYFUNCTION("""COMPUTED_VALUE"""),44420.3576851851)</f>
        <v>44420.357685185103</v>
      </c>
    </row>
    <row r="248" spans="1:35" ht="13" x14ac:dyDescent="0.15">
      <c r="A248">
        <f ca="1">IFERROR(__xludf.DUMMYFUNCTION("""COMPUTED_VALUE"""),1391)</f>
        <v>1391</v>
      </c>
      <c r="B248" t="str">
        <f ca="1">IFERROR(__xludf.DUMMYFUNCTION("""COMPUTED_VALUE"""),"Илит")</f>
        <v>Илит</v>
      </c>
      <c r="C248" t="str">
        <f ca="1">IFERROR(__xludf.DUMMYFUNCTION("""COMPUTED_VALUE"""),"Илит")</f>
        <v>Илит</v>
      </c>
      <c r="D248">
        <f ca="1">IFERROR(__xludf.DUMMYFUNCTION("""COMPUTED_VALUE"""),52708161)</f>
        <v>52708161</v>
      </c>
      <c r="E248" t="str">
        <f ca="1">IFERROR(__xludf.DUMMYFUNCTION("""COMPUTED_VALUE"""),"20 КРЫТЫЕ")</f>
        <v>20 КРЫТЫЕ</v>
      </c>
      <c r="F248">
        <f ca="1">IFERROR(__xludf.DUMMYFUNCTION("""COMPUTED_VALUE"""),42103)</f>
        <v>42103</v>
      </c>
      <c r="G248" t="str">
        <f ca="1">IFERROR(__xludf.DUMMYFUNCTION("""COMPUTED_VALUE"""),"ВАГОНЫ ЖД СВ")</f>
        <v>ВАГОНЫ ЖД СВ</v>
      </c>
      <c r="H248">
        <f ca="1">IFERROR(__xludf.DUMMYFUNCTION("""COMPUTED_VALUE"""),0)</f>
        <v>0</v>
      </c>
      <c r="I248">
        <f ca="1">IFERROR(__xludf.DUMMYFUNCTION("""COMPUTED_VALUE"""),4149)</f>
        <v>4149</v>
      </c>
      <c r="J248" t="str">
        <f ca="1">IFERROR(__xludf.DUMMYFUNCTION("""COMPUTED_VALUE"""),"3802 (49640-069-49620)  - ДЕКОНСКАЯ")</f>
        <v>3802 (49640-069-49620)  - ДЕКОНСКАЯ</v>
      </c>
      <c r="K248">
        <f ca="1">IFERROR(__xludf.DUMMYFUNCTION("""COMPUTED_VALUE"""),49620)</f>
        <v>49620</v>
      </c>
      <c r="L248" t="str">
        <f ca="1">IFERROR(__xludf.DUMMYFUNCTION("""COMPUTED_VALUE"""),"ДЕКОНСКАЯ")</f>
        <v>ДЕКОНСКАЯ</v>
      </c>
      <c r="M248" t="str">
        <f ca="1">IFERROR(__xludf.DUMMYFUNCTION("""COMPUTED_VALUE"""),"11.08.21 04-43")</f>
        <v>11.08.21 04-43</v>
      </c>
      <c r="N248" t="str">
        <f ca="1">IFERROR(__xludf.DUMMYFUNCTION("""COMPUTED_VALUE"""),"98 ОТОТ")</f>
        <v>98 ОТОТ</v>
      </c>
      <c r="O248">
        <f ca="1">IFERROR(__xludf.DUMMYFUNCTION("""COMPUTED_VALUE"""),49620)</f>
        <v>49620</v>
      </c>
      <c r="P248" t="str">
        <f ca="1">IFERROR(__xludf.DUMMYFUNCTION("""COMPUTED_VALUE"""),"ДЕКОНСКАЯ")</f>
        <v>ДЕКОНСКАЯ</v>
      </c>
      <c r="Q248">
        <f ca="1">IFERROR(__xludf.DUMMYFUNCTION("""COMPUTED_VALUE"""),42420)</f>
        <v>42420</v>
      </c>
      <c r="R248" t="str">
        <f ca="1">IFERROR(__xludf.DUMMYFUNCTION("""COMPUTED_VALUE"""),"ЧЕРКАССЫ")</f>
        <v>ЧЕРКАССЫ</v>
      </c>
      <c r="S248" t="str">
        <f ca="1">IFERROR(__xludf.DUMMYFUNCTION("""COMPUTED_VALUE"""),"06.08.21 20-20")</f>
        <v>06.08.21 20-20</v>
      </c>
      <c r="T248">
        <f ca="1">IFERROR(__xludf.DUMMYFUNCTION("""COMPUTED_VALUE"""),1956)</f>
        <v>1956</v>
      </c>
      <c r="U248" t="str">
        <f ca="1">IFERROR(__xludf.DUMMYFUNCTION("""COMPUTED_VALUE"""),"09.09.2022 ДР")</f>
        <v>09.09.2022 ДР</v>
      </c>
      <c r="Z248" t="str">
        <f ca="1">IFERROR(__xludf.DUMMYFUNCTION("""COMPUTED_VALUE"""),"ООО ""АЗОВЕВРОТРАНС""")</f>
        <v>ООО "АЗОВЕВРОТРАНС"</v>
      </c>
      <c r="AA248" t="str">
        <f ca="1">IFERROR(__xludf.DUMMYFUNCTION("""COMPUTED_VALUE"""),"11-274-01")</f>
        <v>11-274-01</v>
      </c>
      <c r="AB248" t="str">
        <f ca="1">IFERROR(__xludf.DUMMYFUNCTION("""COMPUTED_VALUE"""),"43 ЮЖН")</f>
        <v>43 ЮЖН</v>
      </c>
      <c r="AC248" t="str">
        <f ca="1">IFERROR(__xludf.DUMMYFUNCTION("""COMPUTED_VALUE"""),"44020 ОСНОВА")</f>
        <v>44020 ОСНОВА</v>
      </c>
      <c r="AD248" t="str">
        <f ca="1">IFERROR(__xludf.DUMMYFUNCTION("""COMPUTED_VALUE"""),"14.07.21 11-33")</f>
        <v>14.07.21 11-33</v>
      </c>
      <c r="AE248" t="str">
        <f ca="1">IFERROR(__xludf.DUMMYFUNCTION("""COMPUTED_VALUE"""),"537 НEИCПPAВНOCТЬ ЗAПOPA ДВEPИ")</f>
        <v>537 НEИCПPAВНOCТЬ ЗAПOPA ДВEPИ</v>
      </c>
      <c r="AF248" t="str">
        <f ca="1">IFERROR(__xludf.DUMMYFUNCTION("""COMPUTED_VALUE"""),"43 ЮЖН")</f>
        <v>43 ЮЖН</v>
      </c>
      <c r="AG248" t="str">
        <f ca="1">IFERROR(__xludf.DUMMYFUNCTION("""COMPUTED_VALUE"""),"44020 ОСНОВА")</f>
        <v>44020 ОСНОВА</v>
      </c>
      <c r="AH248" t="str">
        <f ca="1">IFERROR(__xludf.DUMMYFUNCTION("""COMPUTED_VALUE"""),"16.07.21 17-05")</f>
        <v>16.07.21 17-05</v>
      </c>
      <c r="AI248" s="21">
        <f ca="1">IFERROR(__xludf.DUMMYFUNCTION("""COMPUTED_VALUE"""),44420.3576851851)</f>
        <v>44420.357685185103</v>
      </c>
    </row>
    <row r="249" spans="1:35" ht="13" x14ac:dyDescent="0.15">
      <c r="A249">
        <f ca="1">IFERROR(__xludf.DUMMYFUNCTION("""COMPUTED_VALUE"""),1392)</f>
        <v>1392</v>
      </c>
      <c r="B249" t="str">
        <f ca="1">IFERROR(__xludf.DUMMYFUNCTION("""COMPUTED_VALUE"""),"Илит")</f>
        <v>Илит</v>
      </c>
      <c r="C249" t="str">
        <f ca="1">IFERROR(__xludf.DUMMYFUNCTION("""COMPUTED_VALUE"""),"Илит")</f>
        <v>Илит</v>
      </c>
      <c r="D249">
        <f ca="1">IFERROR(__xludf.DUMMYFUNCTION("""COMPUTED_VALUE"""),23180334)</f>
        <v>23180334</v>
      </c>
      <c r="E249" t="str">
        <f ca="1">IFERROR(__xludf.DUMMYFUNCTION("""COMPUTED_VALUE"""),"20 КРЫТЫЕ")</f>
        <v>20 КРЫТЫЕ</v>
      </c>
      <c r="F249">
        <f ca="1">IFERROR(__xludf.DUMMYFUNCTION("""COMPUTED_VALUE"""),28114)</f>
        <v>28114</v>
      </c>
      <c r="G249" t="str">
        <f ca="1">IFERROR(__xludf.DUMMYFUNCTION("""COMPUTED_VALUE"""),"ЦЕМЕНТ ПР")</f>
        <v>ЦЕМЕНТ ПР</v>
      </c>
      <c r="H249">
        <f ca="1">IFERROR(__xludf.DUMMYFUNCTION("""COMPUTED_VALUE"""),68)</f>
        <v>68</v>
      </c>
      <c r="I249">
        <f ca="1">IFERROR(__xludf.DUMMYFUNCTION("""COMPUTED_VALUE"""),3014)</f>
        <v>3014</v>
      </c>
      <c r="J249" t="str">
        <f ca="1">IFERROR(__xludf.DUMMYFUNCTION("""COMPUTED_VALUE"""),"2250 (37000-475-32050) ЛЬВОВ - КИЕВ-ВОЛЫНСК")</f>
        <v>2250 (37000-475-32050) ЛЬВОВ - КИЕВ-ВОЛЫНСК</v>
      </c>
      <c r="K249">
        <f ca="1">IFERROR(__xludf.DUMMYFUNCTION("""COMPUTED_VALUE"""),32050)</f>
        <v>32050</v>
      </c>
      <c r="L249" t="str">
        <f ca="1">IFERROR(__xludf.DUMMYFUNCTION("""COMPUTED_VALUE"""),"КИЕВ-ВОЛЫНСК")</f>
        <v>КИЕВ-ВОЛЫНСК</v>
      </c>
      <c r="M249" t="str">
        <f ca="1">IFERROR(__xludf.DUMMYFUNCTION("""COMPUTED_VALUE"""),"11.08.21 02-57")</f>
        <v>11.08.21 02-57</v>
      </c>
      <c r="N249" t="str">
        <f ca="1">IFERROR(__xludf.DUMMYFUNCTION("""COMPUTED_VALUE"""),"04 РАСФ")</f>
        <v>04 РАСФ</v>
      </c>
      <c r="O249">
        <f ca="1">IFERROR(__xludf.DUMMYFUNCTION("""COMPUTED_VALUE"""),44540)</f>
        <v>44540</v>
      </c>
      <c r="P249" t="str">
        <f ca="1">IFERROR(__xludf.DUMMYFUNCTION("""COMPUTED_VALUE"""),"СУМЫ-ТОВ")</f>
        <v>СУМЫ-ТОВ</v>
      </c>
      <c r="Q249">
        <f ca="1">IFERROR(__xludf.DUMMYFUNCTION("""COMPUTED_VALUE"""),38830)</f>
        <v>38830</v>
      </c>
      <c r="R249" t="str">
        <f ca="1">IFERROR(__xludf.DUMMYFUNCTION("""COMPUTED_VALUE"""),"ЯМНИЦА")</f>
        <v>ЯМНИЦА</v>
      </c>
      <c r="S249" t="str">
        <f ca="1">IFERROR(__xludf.DUMMYFUNCTION("""COMPUTED_VALUE"""),"31.07.21 12-00")</f>
        <v>31.07.21 12-00</v>
      </c>
      <c r="T249">
        <f ca="1">IFERROR(__xludf.DUMMYFUNCTION("""COMPUTED_VALUE"""),8199)</f>
        <v>8199</v>
      </c>
      <c r="U249" t="str">
        <f ca="1">IFERROR(__xludf.DUMMYFUNCTION("""COMPUTED_VALUE"""),"22.12.2023 ДР")</f>
        <v>22.12.2023 ДР</v>
      </c>
      <c r="Z249" t="str">
        <f ca="1">IFERROR(__xludf.DUMMYFUNCTION("""COMPUTED_VALUE"""),"ООО «СТК «РОУД»")</f>
        <v>ООО «СТК «РОУД»</v>
      </c>
      <c r="AA249" t="str">
        <f ca="1">IFERROR(__xludf.DUMMYFUNCTION("""COMPUTED_VALUE"""),"11-066-05")</f>
        <v>11-066-05</v>
      </c>
      <c r="AB249" t="str">
        <f ca="1">IFERROR(__xludf.DUMMYFUNCTION("""COMPUTED_VALUE"""),"48 ДОН")</f>
        <v>48 ДОН</v>
      </c>
      <c r="AC249" t="str">
        <f ca="1">IFERROR(__xludf.DUMMYFUNCTION("""COMPUTED_VALUE"""),"48200 ПОКРОВСК")</f>
        <v>48200 ПОКРОВСК</v>
      </c>
      <c r="AD249" t="str">
        <f ca="1">IFERROR(__xludf.DUMMYFUNCTION("""COMPUTED_VALUE"""),"04.03.20 11-00")</f>
        <v>04.03.20 11-00</v>
      </c>
      <c r="AE249" t="str">
        <f ca="1">IFERROR(__xludf.DUMMYFUNCTION("""COMPUTED_VALUE"""),"571 ИCТEК КAЛЕНДАРНЫЙ CPOК КAПИТAЛЬНОГО PEМOНТA")</f>
        <v>571 ИCТEК КAЛЕНДАРНЫЙ CPOК КAПИТAЛЬНОГО PEМOНТA</v>
      </c>
      <c r="AF249" t="str">
        <f ca="1">IFERROR(__xludf.DUMMYFUNCTION("""COMPUTED_VALUE"""),"48 ДОН")</f>
        <v>48 ДОН</v>
      </c>
      <c r="AG249" t="str">
        <f ca="1">IFERROR(__xludf.DUMMYFUNCTION("""COMPUTED_VALUE"""),"48200 ПОКРОВСК")</f>
        <v>48200 ПОКРОВСК</v>
      </c>
      <c r="AH249" t="str">
        <f ca="1">IFERROR(__xludf.DUMMYFUNCTION("""COMPUTED_VALUE"""),"22.12.20 11-00")</f>
        <v>22.12.20 11-00</v>
      </c>
      <c r="AI249" s="21">
        <f ca="1">IFERROR(__xludf.DUMMYFUNCTION("""COMPUTED_VALUE"""),44420.3576851851)</f>
        <v>44420.357685185103</v>
      </c>
    </row>
    <row r="250" spans="1:35" ht="13" x14ac:dyDescent="0.15">
      <c r="A250">
        <f ca="1">IFERROR(__xludf.DUMMYFUNCTION("""COMPUTED_VALUE"""),1393)</f>
        <v>1393</v>
      </c>
      <c r="B250" t="str">
        <f ca="1">IFERROR(__xludf.DUMMYFUNCTION("""COMPUTED_VALUE"""),"Илит")</f>
        <v>Илит</v>
      </c>
      <c r="C250" t="str">
        <f ca="1">IFERROR(__xludf.DUMMYFUNCTION("""COMPUTED_VALUE"""),"Илит")</f>
        <v>Илит</v>
      </c>
      <c r="D250">
        <f ca="1">IFERROR(__xludf.DUMMYFUNCTION("""COMPUTED_VALUE"""),24201121)</f>
        <v>24201121</v>
      </c>
      <c r="E250" t="str">
        <f ca="1">IFERROR(__xludf.DUMMYFUNCTION("""COMPUTED_VALUE"""),"20 КРЫТЫЕ")</f>
        <v>20 КРЫТЫЕ</v>
      </c>
      <c r="F250">
        <f ca="1">IFERROR(__xludf.DUMMYFUNCTION("""COMPUTED_VALUE"""),42103)</f>
        <v>42103</v>
      </c>
      <c r="G250" t="str">
        <f ca="1">IFERROR(__xludf.DUMMYFUNCTION("""COMPUTED_VALUE"""),"ВАГОНЫ ЖД СВ")</f>
        <v>ВАГОНЫ ЖД СВ</v>
      </c>
      <c r="H250">
        <f ca="1">IFERROR(__xludf.DUMMYFUNCTION("""COMPUTED_VALUE"""),0)</f>
        <v>0</v>
      </c>
      <c r="I250">
        <f ca="1">IFERROR(__xludf.DUMMYFUNCTION("""COMPUTED_VALUE"""),3430)</f>
        <v>3430</v>
      </c>
      <c r="J250" t="str">
        <f ca="1">IFERROR(__xludf.DUMMYFUNCTION("""COMPUTED_VALUE"""),"3632 (32040-006-32000) ГРУШКИ - ДАРНИЦА")</f>
        <v>3632 (32040-006-32000) ГРУШКИ - ДАРНИЦА</v>
      </c>
      <c r="K250">
        <f ca="1">IFERROR(__xludf.DUMMYFUNCTION("""COMPUTED_VALUE"""),32000)</f>
        <v>32000</v>
      </c>
      <c r="L250" t="str">
        <f ca="1">IFERROR(__xludf.DUMMYFUNCTION("""COMPUTED_VALUE"""),"ДАРНИЦА")</f>
        <v>ДАРНИЦА</v>
      </c>
      <c r="M250" t="str">
        <f ca="1">IFERROR(__xludf.DUMMYFUNCTION("""COMPUTED_VALUE"""),"12.08.21 01-01")</f>
        <v>12.08.21 01-01</v>
      </c>
      <c r="N250" t="str">
        <f ca="1">IFERROR(__xludf.DUMMYFUNCTION("""COMPUTED_VALUE"""),"04 РАСФ")</f>
        <v>04 РАСФ</v>
      </c>
      <c r="O250">
        <f ca="1">IFERROR(__xludf.DUMMYFUNCTION("""COMPUTED_VALUE"""),34350)</f>
        <v>34350</v>
      </c>
      <c r="P250" t="str">
        <f ca="1">IFERROR(__xludf.DUMMYFUNCTION("""COMPUTED_VALUE"""),"ФАСТОВ I")</f>
        <v>ФАСТОВ I</v>
      </c>
      <c r="Q250">
        <f ca="1">IFERROR(__xludf.DUMMYFUNCTION("""COMPUTED_VALUE"""),32040)</f>
        <v>32040</v>
      </c>
      <c r="R250" t="str">
        <f ca="1">IFERROR(__xludf.DUMMYFUNCTION("""COMPUTED_VALUE"""),"ГРУШКИ")</f>
        <v>ГРУШКИ</v>
      </c>
      <c r="S250" t="str">
        <f ca="1">IFERROR(__xludf.DUMMYFUNCTION("""COMPUTED_VALUE"""),"08.08.21 08-00")</f>
        <v>08.08.21 08-00</v>
      </c>
      <c r="T250">
        <f ca="1">IFERROR(__xludf.DUMMYFUNCTION("""COMPUTED_VALUE"""),1956)</f>
        <v>1956</v>
      </c>
      <c r="U250" t="str">
        <f ca="1">IFERROR(__xludf.DUMMYFUNCTION("""COMPUTED_VALUE"""),"29.11.2023 ДР")</f>
        <v>29.11.2023 ДР</v>
      </c>
      <c r="Z250" t="str">
        <f ca="1">IFERROR(__xludf.DUMMYFUNCTION("""COMPUTED_VALUE"""),"ООО «СТК «РОУД»")</f>
        <v>ООО «СТК «РОУД»</v>
      </c>
      <c r="AA250" t="str">
        <f ca="1">IFERROR(__xludf.DUMMYFUNCTION("""COMPUTED_VALUE"""),"11-217")</f>
        <v>11-217</v>
      </c>
      <c r="AB250" t="str">
        <f ca="1">IFERROR(__xludf.DUMMYFUNCTION("""COMPUTED_VALUE"""),"48 ДОН")</f>
        <v>48 ДОН</v>
      </c>
      <c r="AC250" t="str">
        <f ca="1">IFERROR(__xludf.DUMMYFUNCTION("""COMPUTED_VALUE"""),"48200 ПОКРОВСК")</f>
        <v>48200 ПОКРОВСК</v>
      </c>
      <c r="AD250" t="str">
        <f ca="1">IFERROR(__xludf.DUMMYFUNCTION("""COMPUTED_VALUE"""),"27.10.20 15-00")</f>
        <v>27.10.20 15-00</v>
      </c>
      <c r="AE250" t="str">
        <f ca="1">IFERROR(__xludf.DUMMYFUNCTION("""COMPUTED_VALUE"""),"571 ИCТEК КAЛЕНДАРНЫЙ CPOК КAПИТAЛЬНОГО PEМOНТA")</f>
        <v>571 ИCТEК КAЛЕНДАРНЫЙ CPOК КAПИТAЛЬНОГО PEМOНТA</v>
      </c>
      <c r="AF250" t="str">
        <f ca="1">IFERROR(__xludf.DUMMYFUNCTION("""COMPUTED_VALUE"""),"48 ДОН")</f>
        <v>48 ДОН</v>
      </c>
      <c r="AG250" t="str">
        <f ca="1">IFERROR(__xludf.DUMMYFUNCTION("""COMPUTED_VALUE"""),"48200 ПОКРОВСК")</f>
        <v>48200 ПОКРОВСК</v>
      </c>
      <c r="AH250" t="str">
        <f ca="1">IFERROR(__xludf.DUMMYFUNCTION("""COMPUTED_VALUE"""),"29.11.20 16-00")</f>
        <v>29.11.20 16-00</v>
      </c>
      <c r="AI250" s="21">
        <f ca="1">IFERROR(__xludf.DUMMYFUNCTION("""COMPUTED_VALUE"""),44420.3576851851)</f>
        <v>44420.357685185103</v>
      </c>
    </row>
    <row r="251" spans="1:35" ht="13" x14ac:dyDescent="0.15">
      <c r="A251">
        <f ca="1">IFERROR(__xludf.DUMMYFUNCTION("""COMPUTED_VALUE"""),1394)</f>
        <v>1394</v>
      </c>
      <c r="B251" t="str">
        <f ca="1">IFERROR(__xludf.DUMMYFUNCTION("""COMPUTED_VALUE"""),"Илит")</f>
        <v>Илит</v>
      </c>
      <c r="C251" t="str">
        <f ca="1">IFERROR(__xludf.DUMMYFUNCTION("""COMPUTED_VALUE"""),"Илит")</f>
        <v>Илит</v>
      </c>
      <c r="D251">
        <f ca="1">IFERROR(__xludf.DUMMYFUNCTION("""COMPUTED_VALUE"""),23263163)</f>
        <v>23263163</v>
      </c>
      <c r="E251" t="str">
        <f ca="1">IFERROR(__xludf.DUMMYFUNCTION("""COMPUTED_VALUE"""),"20 КРЫТЫЕ")</f>
        <v>20 КРЫТЫЕ</v>
      </c>
      <c r="F251">
        <f ca="1">IFERROR(__xludf.DUMMYFUNCTION("""COMPUTED_VALUE"""),23304)</f>
        <v>23304</v>
      </c>
      <c r="G251" t="str">
        <f ca="1">IFERROR(__xludf.DUMMYFUNCTION("""COMPUTED_VALUE"""),"ГИПС ПР")</f>
        <v>ГИПС ПР</v>
      </c>
      <c r="H251">
        <f ca="1">IFERROR(__xludf.DUMMYFUNCTION("""COMPUTED_VALUE"""),61)</f>
        <v>61</v>
      </c>
      <c r="I251">
        <f ca="1">IFERROR(__xludf.DUMMYFUNCTION("""COMPUTED_VALUE"""),3314)</f>
        <v>3314</v>
      </c>
      <c r="J251" t="str">
        <f ca="1">IFERROR(__xludf.DUMMYFUNCTION("""COMPUTED_VALUE"""),"9508 (49000-235-44020) ЛИМАН - ОСНОВА")</f>
        <v>9508 (49000-235-44020) ЛИМАН - ОСНОВА</v>
      </c>
      <c r="K251">
        <f ca="1">IFERROR(__xludf.DUMMYFUNCTION("""COMPUTED_VALUE"""),44020)</f>
        <v>44020</v>
      </c>
      <c r="L251" t="str">
        <f ca="1">IFERROR(__xludf.DUMMYFUNCTION("""COMPUTED_VALUE"""),"ОСНОВА")</f>
        <v>ОСНОВА</v>
      </c>
      <c r="M251" t="str">
        <f ca="1">IFERROR(__xludf.DUMMYFUNCTION("""COMPUTED_VALUE"""),"11.08.21 12-40")</f>
        <v>11.08.21 12-40</v>
      </c>
      <c r="N251" t="str">
        <f ca="1">IFERROR(__xludf.DUMMYFUNCTION("""COMPUTED_VALUE"""),"98 ОТОТ")</f>
        <v>98 ОТОТ</v>
      </c>
      <c r="O251">
        <f ca="1">IFERROR(__xludf.DUMMYFUNCTION("""COMPUTED_VALUE"""),38840)</f>
        <v>38840</v>
      </c>
      <c r="P251" t="str">
        <f ca="1">IFERROR(__xludf.DUMMYFUNCTION("""COMPUTED_VALUE"""),"ИВАНО-ФРАНК")</f>
        <v>ИВАНО-ФРАНК</v>
      </c>
      <c r="Q251">
        <f ca="1">IFERROR(__xludf.DUMMYFUNCTION("""COMPUTED_VALUE"""),49620)</f>
        <v>49620</v>
      </c>
      <c r="R251" t="str">
        <f ca="1">IFERROR(__xludf.DUMMYFUNCTION("""COMPUTED_VALUE"""),"ДЕКОНСКАЯ")</f>
        <v>ДЕКОНСКАЯ</v>
      </c>
      <c r="S251" t="str">
        <f ca="1">IFERROR(__xludf.DUMMYFUNCTION("""COMPUTED_VALUE"""),"08.08.21 20-30")</f>
        <v>08.08.21 20-30</v>
      </c>
      <c r="T251">
        <f ca="1">IFERROR(__xludf.DUMMYFUNCTION("""COMPUTED_VALUE"""),4149)</f>
        <v>4149</v>
      </c>
      <c r="U251" t="str">
        <f ca="1">IFERROR(__xludf.DUMMYFUNCTION("""COMPUTED_VALUE"""),"22.04.2023 ДР")</f>
        <v>22.04.2023 ДР</v>
      </c>
      <c r="Z251" t="str">
        <f ca="1">IFERROR(__xludf.DUMMYFUNCTION("""COMPUTED_VALUE"""),"ООО «СТК «РОУД»")</f>
        <v>ООО «СТК «РОУД»</v>
      </c>
      <c r="AA251" t="str">
        <f ca="1">IFERROR(__xludf.DUMMYFUNCTION("""COMPUTED_VALUE"""),"11-К001")</f>
        <v>11-К001</v>
      </c>
      <c r="AB251" t="str">
        <f ca="1">IFERROR(__xludf.DUMMYFUNCTION("""COMPUTED_VALUE"""),"43 ЮЖН")</f>
        <v>43 ЮЖН</v>
      </c>
      <c r="AC251" t="str">
        <f ca="1">IFERROR(__xludf.DUMMYFUNCTION("""COMPUTED_VALUE"""),"44020 ОСНОВА")</f>
        <v>44020 ОСНОВА</v>
      </c>
      <c r="AD251" t="str">
        <f ca="1">IFERROR(__xludf.DUMMYFUNCTION("""COMPUTED_VALUE"""),"10.08.21 16-35")</f>
        <v>10.08.21 16-35</v>
      </c>
      <c r="AE251" t="str">
        <f ca="1">IFERROR(__xludf.DUMMYFUNCTION("""COMPUTED_VALUE"""),"157")</f>
        <v>157</v>
      </c>
      <c r="AF251" t="str">
        <f ca="1">IFERROR(__xludf.DUMMYFUNCTION("""COMPUTED_VALUE"""),"35 ЛЬВ")</f>
        <v>35 ЛЬВ</v>
      </c>
      <c r="AG251" t="str">
        <f ca="1">IFERROR(__xludf.DUMMYFUNCTION("""COMPUTED_VALUE"""),"35000 ЗДОЛБУНОВ")</f>
        <v>35000 ЗДОЛБУНОВ</v>
      </c>
      <c r="AH251" t="str">
        <f ca="1">IFERROR(__xludf.DUMMYFUNCTION("""COMPUTED_VALUE"""),"10.04.21 17-00")</f>
        <v>10.04.21 17-00</v>
      </c>
      <c r="AI251" s="21">
        <f ca="1">IFERROR(__xludf.DUMMYFUNCTION("""COMPUTED_VALUE"""),44420.3576851851)</f>
        <v>44420.357685185103</v>
      </c>
    </row>
    <row r="252" spans="1:35" ht="13" x14ac:dyDescent="0.15">
      <c r="A252">
        <f ca="1">IFERROR(__xludf.DUMMYFUNCTION("""COMPUTED_VALUE"""),1395)</f>
        <v>1395</v>
      </c>
      <c r="B252" t="str">
        <f ca="1">IFERROR(__xludf.DUMMYFUNCTION("""COMPUTED_VALUE"""),"Илит")</f>
        <v>Илит</v>
      </c>
      <c r="C252" t="str">
        <f ca="1">IFERROR(__xludf.DUMMYFUNCTION("""COMPUTED_VALUE"""),"Илит")</f>
        <v>Илит</v>
      </c>
      <c r="D252">
        <f ca="1">IFERROR(__xludf.DUMMYFUNCTION("""COMPUTED_VALUE"""),24092454)</f>
        <v>24092454</v>
      </c>
      <c r="E252" t="str">
        <f ca="1">IFERROR(__xludf.DUMMYFUNCTION("""COMPUTED_VALUE"""),"20 КРЫТЫЕ")</f>
        <v>20 КРЫТЫЕ</v>
      </c>
      <c r="F252">
        <f ca="1">IFERROR(__xludf.DUMMYFUNCTION("""COMPUTED_VALUE"""),23304)</f>
        <v>23304</v>
      </c>
      <c r="G252" t="str">
        <f ca="1">IFERROR(__xludf.DUMMYFUNCTION("""COMPUTED_VALUE"""),"ГИПС ПР")</f>
        <v>ГИПС ПР</v>
      </c>
      <c r="H252">
        <f ca="1">IFERROR(__xludf.DUMMYFUNCTION("""COMPUTED_VALUE"""),66)</f>
        <v>66</v>
      </c>
      <c r="I252">
        <f ca="1">IFERROR(__xludf.DUMMYFUNCTION("""COMPUTED_VALUE"""),3314)</f>
        <v>3314</v>
      </c>
      <c r="J252" t="str">
        <f ca="1">IFERROR(__xludf.DUMMYFUNCTION("""COMPUTED_VALUE"""),"5555 (32000-611-00010) ДАРНИЦА -")</f>
        <v>5555 (32000-611-00010) ДАРНИЦА -</v>
      </c>
      <c r="K252">
        <f ca="1">IFERROR(__xludf.DUMMYFUNCTION("""COMPUTED_VALUE"""),32000)</f>
        <v>32000</v>
      </c>
      <c r="L252" t="str">
        <f ca="1">IFERROR(__xludf.DUMMYFUNCTION("""COMPUTED_VALUE"""),"ДАРНИЦА")</f>
        <v>ДАРНИЦА</v>
      </c>
      <c r="M252" t="str">
        <f ca="1">IFERROR(__xludf.DUMMYFUNCTION("""COMPUTED_VALUE"""),"12.08.21 06-06")</f>
        <v>12.08.21 06-06</v>
      </c>
      <c r="N252" t="str">
        <f ca="1">IFERROR(__xludf.DUMMYFUNCTION("""COMPUTED_VALUE"""),"04 РАСФ")</f>
        <v>04 РАСФ</v>
      </c>
      <c r="O252">
        <f ca="1">IFERROR(__xludf.DUMMYFUNCTION("""COMPUTED_VALUE"""),32040)</f>
        <v>32040</v>
      </c>
      <c r="P252" t="str">
        <f ca="1">IFERROR(__xludf.DUMMYFUNCTION("""COMPUTED_VALUE"""),"ГРУШКИ")</f>
        <v>ГРУШКИ</v>
      </c>
      <c r="Q252">
        <f ca="1">IFERROR(__xludf.DUMMYFUNCTION("""COMPUTED_VALUE"""),49620)</f>
        <v>49620</v>
      </c>
      <c r="R252" t="str">
        <f ca="1">IFERROR(__xludf.DUMMYFUNCTION("""COMPUTED_VALUE"""),"ДЕКОНСКАЯ")</f>
        <v>ДЕКОНСКАЯ</v>
      </c>
      <c r="S252" t="str">
        <f ca="1">IFERROR(__xludf.DUMMYFUNCTION("""COMPUTED_VALUE"""),"06.08.21 09-00")</f>
        <v>06.08.21 09-00</v>
      </c>
      <c r="T252">
        <f ca="1">IFERROR(__xludf.DUMMYFUNCTION("""COMPUTED_VALUE"""),4149)</f>
        <v>4149</v>
      </c>
      <c r="U252" t="str">
        <f ca="1">IFERROR(__xludf.DUMMYFUNCTION("""COMPUTED_VALUE"""),"13.11.2022 ДР")</f>
        <v>13.11.2022 ДР</v>
      </c>
      <c r="AA252" t="str">
        <f ca="1">IFERROR(__xludf.DUMMYFUNCTION("""COMPUTED_VALUE"""),"11-217")</f>
        <v>11-217</v>
      </c>
      <c r="AB252" t="str">
        <f ca="1">IFERROR(__xludf.DUMMYFUNCTION("""COMPUTED_VALUE"""),"32 Ю-ЗАП")</f>
        <v>32 Ю-ЗАП</v>
      </c>
      <c r="AC252" t="str">
        <f ca="1">IFERROR(__xludf.DUMMYFUNCTION("""COMPUTED_VALUE"""),"32000 ДАРНИЦА")</f>
        <v>32000 ДАРНИЦА</v>
      </c>
      <c r="AD252" t="str">
        <f ca="1">IFERROR(__xludf.DUMMYFUNCTION("""COMPUTED_VALUE"""),"26.05.21 13-32")</f>
        <v>26.05.21 13-32</v>
      </c>
      <c r="AE252" t="str">
        <f ca="1">IFERROR(__xludf.DUMMYFUNCTION("""COMPUTED_VALUE"""),"537 НEИCПPAВНOCТЬ ЗAПOPA ДВEPИ")</f>
        <v>537 НEИCПPAВНOCТЬ ЗAПOPA ДВEPИ</v>
      </c>
      <c r="AF252" t="str">
        <f ca="1">IFERROR(__xludf.DUMMYFUNCTION("""COMPUTED_VALUE"""),"32 Ю-ЗАП")</f>
        <v>32 Ю-ЗАП</v>
      </c>
      <c r="AG252" t="str">
        <f ca="1">IFERROR(__xludf.DUMMYFUNCTION("""COMPUTED_VALUE"""),"32000 ДАРНИЦА")</f>
        <v>32000 ДАРНИЦА</v>
      </c>
      <c r="AH252" t="str">
        <f ca="1">IFERROR(__xludf.DUMMYFUNCTION("""COMPUTED_VALUE"""),"29.05.21 13-15")</f>
        <v>29.05.21 13-15</v>
      </c>
      <c r="AI252" s="21">
        <f ca="1">IFERROR(__xludf.DUMMYFUNCTION("""COMPUTED_VALUE"""),44420.3576851851)</f>
        <v>44420.357685185103</v>
      </c>
    </row>
    <row r="253" spans="1:35" ht="13" x14ac:dyDescent="0.15">
      <c r="A253">
        <f ca="1">IFERROR(__xludf.DUMMYFUNCTION("""COMPUTED_VALUE"""),1396)</f>
        <v>1396</v>
      </c>
      <c r="B253" t="str">
        <f ca="1">IFERROR(__xludf.DUMMYFUNCTION("""COMPUTED_VALUE"""),"Илит")</f>
        <v>Илит</v>
      </c>
      <c r="C253" t="str">
        <f ca="1">IFERROR(__xludf.DUMMYFUNCTION("""COMPUTED_VALUE"""),"Илит")</f>
        <v>Илит</v>
      </c>
      <c r="D253">
        <f ca="1">IFERROR(__xludf.DUMMYFUNCTION("""COMPUTED_VALUE"""),24204901)</f>
        <v>24204901</v>
      </c>
      <c r="E253" t="str">
        <f ca="1">IFERROR(__xludf.DUMMYFUNCTION("""COMPUTED_VALUE"""),"20 КРЫТЫЕ")</f>
        <v>20 КРЫТЫЕ</v>
      </c>
      <c r="F253">
        <f ca="1">IFERROR(__xludf.DUMMYFUNCTION("""COMPUTED_VALUE"""),23304)</f>
        <v>23304</v>
      </c>
      <c r="G253" t="str">
        <f ca="1">IFERROR(__xludf.DUMMYFUNCTION("""COMPUTED_VALUE"""),"ГИПС ПР")</f>
        <v>ГИПС ПР</v>
      </c>
      <c r="H253">
        <f ca="1">IFERROR(__xludf.DUMMYFUNCTION("""COMPUTED_VALUE"""),65)</f>
        <v>65</v>
      </c>
      <c r="I253">
        <f ca="1">IFERROR(__xludf.DUMMYFUNCTION("""COMPUTED_VALUE"""),4969)</f>
        <v>4969</v>
      </c>
      <c r="J253" t="str">
        <f ca="1">IFERROR(__xludf.DUMMYFUNCTION("""COMPUTED_VALUE"""),"3411 (34270-133-33560) КАЗАТИН I - ГНИВАНЬ")</f>
        <v>3411 (34270-133-33560) КАЗАТИН I - ГНИВАНЬ</v>
      </c>
      <c r="K253">
        <f ca="1">IFERROR(__xludf.DUMMYFUNCTION("""COMPUTED_VALUE"""),33580)</f>
        <v>33580</v>
      </c>
      <c r="L253" t="str">
        <f ca="1">IFERROR(__xludf.DUMMYFUNCTION("""COMPUTED_VALUE"""),"ВИННИЦА")</f>
        <v>ВИННИЦА</v>
      </c>
      <c r="M253" t="str">
        <f ca="1">IFERROR(__xludf.DUMMYFUNCTION("""COMPUTED_VALUE"""),"10.08.21 06-00")</f>
        <v>10.08.21 06-00</v>
      </c>
      <c r="N253" t="str">
        <f ca="1">IFERROR(__xludf.DUMMYFUNCTION("""COMPUTED_VALUE"""),"21 ВЫГ2")</f>
        <v>21 ВЫГ2</v>
      </c>
      <c r="O253">
        <f ca="1">IFERROR(__xludf.DUMMYFUNCTION("""COMPUTED_VALUE"""),33580)</f>
        <v>33580</v>
      </c>
      <c r="P253" t="str">
        <f ca="1">IFERROR(__xludf.DUMMYFUNCTION("""COMPUTED_VALUE"""),"ВИННИЦА")</f>
        <v>ВИННИЦА</v>
      </c>
      <c r="Q253">
        <f ca="1">IFERROR(__xludf.DUMMYFUNCTION("""COMPUTED_VALUE"""),49620)</f>
        <v>49620</v>
      </c>
      <c r="R253" t="str">
        <f ca="1">IFERROR(__xludf.DUMMYFUNCTION("""COMPUTED_VALUE"""),"ДЕКОНСКАЯ")</f>
        <v>ДЕКОНСКАЯ</v>
      </c>
      <c r="S253" t="str">
        <f ca="1">IFERROR(__xludf.DUMMYFUNCTION("""COMPUTED_VALUE"""),"04.08.21 11-30")</f>
        <v>04.08.21 11-30</v>
      </c>
      <c r="U253" t="str">
        <f ca="1">IFERROR(__xludf.DUMMYFUNCTION("""COMPUTED_VALUE"""),"15.02.2022 ДР")</f>
        <v>15.02.2022 ДР</v>
      </c>
      <c r="Z253" t="str">
        <f ca="1">IFERROR(__xludf.DUMMYFUNCTION("""COMPUTED_VALUE"""),"ООО ""Globe Trans""")</f>
        <v>ООО "Globe Trans"</v>
      </c>
      <c r="AA253" t="str">
        <f ca="1">IFERROR(__xludf.DUMMYFUNCTION("""COMPUTED_VALUE"""),"11-217")</f>
        <v>11-217</v>
      </c>
      <c r="AB253" t="str">
        <f ca="1">IFERROR(__xludf.DUMMYFUNCTION("""COMPUTED_VALUE"""),"32 Ю-ЗАП")</f>
        <v>32 Ю-ЗАП</v>
      </c>
      <c r="AC253" t="str">
        <f ca="1">IFERROR(__xludf.DUMMYFUNCTION("""COMPUTED_VALUE"""),"34350 ФАСТОВ I")</f>
        <v>34350 ФАСТОВ I</v>
      </c>
      <c r="AD253" t="str">
        <f ca="1">IFERROR(__xludf.DUMMYFUNCTION("""COMPUTED_VALUE"""),"03.06.21 22-00")</f>
        <v>03.06.21 22-00</v>
      </c>
      <c r="AE253" t="str">
        <f ca="1">IFERROR(__xludf.DUMMYFUNCTION("""COMPUTED_VALUE"""),"537 НEИCПPAВНOCТЬ ЗAПOPA ДВEPИ")</f>
        <v>537 НEИCПPAВНOCТЬ ЗAПOPA ДВEPИ</v>
      </c>
      <c r="AF253" t="str">
        <f ca="1">IFERROR(__xludf.DUMMYFUNCTION("""COMPUTED_VALUE"""),"32 Ю-ЗАП")</f>
        <v>32 Ю-ЗАП</v>
      </c>
      <c r="AG253" t="str">
        <f ca="1">IFERROR(__xludf.DUMMYFUNCTION("""COMPUTED_VALUE"""),"34350 ФАСТОВ I")</f>
        <v>34350 ФАСТОВ I</v>
      </c>
      <c r="AH253" t="str">
        <f ca="1">IFERROR(__xludf.DUMMYFUNCTION("""COMPUTED_VALUE"""),"04.06.21 09-00")</f>
        <v>04.06.21 09-00</v>
      </c>
      <c r="AI253" s="21">
        <f ca="1">IFERROR(__xludf.DUMMYFUNCTION("""COMPUTED_VALUE"""),44420.3576851851)</f>
        <v>44420.357685185103</v>
      </c>
    </row>
    <row r="254" spans="1:35" ht="13" x14ac:dyDescent="0.15">
      <c r="A254">
        <f ca="1">IFERROR(__xludf.DUMMYFUNCTION("""COMPUTED_VALUE"""),1397)</f>
        <v>1397</v>
      </c>
      <c r="B254" t="str">
        <f ca="1">IFERROR(__xludf.DUMMYFUNCTION("""COMPUTED_VALUE"""),"Илит")</f>
        <v>Илит</v>
      </c>
      <c r="C254" t="str">
        <f ca="1">IFERROR(__xludf.DUMMYFUNCTION("""COMPUTED_VALUE"""),"Илит")</f>
        <v>Илит</v>
      </c>
      <c r="D254">
        <f ca="1">IFERROR(__xludf.DUMMYFUNCTION("""COMPUTED_VALUE"""),24346157)</f>
        <v>24346157</v>
      </c>
      <c r="E254" t="str">
        <f ca="1">IFERROR(__xludf.DUMMYFUNCTION("""COMPUTED_VALUE"""),"20 КРЫТЫЕ")</f>
        <v>20 КРЫТЫЕ</v>
      </c>
      <c r="F254">
        <f ca="1">IFERROR(__xludf.DUMMYFUNCTION("""COMPUTED_VALUE"""),28114)</f>
        <v>28114</v>
      </c>
      <c r="G254" t="str">
        <f ca="1">IFERROR(__xludf.DUMMYFUNCTION("""COMPUTED_VALUE"""),"ЦЕМЕНТ ПР")</f>
        <v>ЦЕМЕНТ ПР</v>
      </c>
      <c r="H254">
        <f ca="1">IFERROR(__xludf.DUMMYFUNCTION("""COMPUTED_VALUE"""),68)</f>
        <v>68</v>
      </c>
      <c r="I254">
        <f ca="1">IFERROR(__xludf.DUMMYFUNCTION("""COMPUTED_VALUE"""),1744)</f>
        <v>1744</v>
      </c>
      <c r="J254" t="str">
        <f ca="1">IFERROR(__xludf.DUMMYFUNCTION("""COMPUTED_VALUE"""),"1111 (38830-082-37000) ЯМНИЦА - ЛЬВОВ")</f>
        <v>1111 (38830-082-37000) ЯМНИЦА - ЛЬВОВ</v>
      </c>
      <c r="K254">
        <f ca="1">IFERROR(__xludf.DUMMYFUNCTION("""COMPUTED_VALUE"""),38830)</f>
        <v>38830</v>
      </c>
      <c r="L254" t="str">
        <f ca="1">IFERROR(__xludf.DUMMYFUNCTION("""COMPUTED_VALUE"""),"ЯМНИЦА")</f>
        <v>ЯМНИЦА</v>
      </c>
      <c r="M254" t="str">
        <f ca="1">IFERROR(__xludf.DUMMYFUNCTION("""COMPUTED_VALUE"""),"11.08.21 00-16")</f>
        <v>11.08.21 00-16</v>
      </c>
      <c r="N254" t="str">
        <f ca="1">IFERROR(__xludf.DUMMYFUNCTION("""COMPUTED_VALUE"""),"05 ФОРМ")</f>
        <v>05 ФОРМ</v>
      </c>
      <c r="O254">
        <f ca="1">IFERROR(__xludf.DUMMYFUNCTION("""COMPUTED_VALUE"""),49210)</f>
        <v>49210</v>
      </c>
      <c r="P254" t="str">
        <f ca="1">IFERROR(__xludf.DUMMYFUNCTION("""COMPUTED_VALUE"""),"СЛАВЯНСК-ВЕТ")</f>
        <v>СЛАВЯНСК-ВЕТ</v>
      </c>
      <c r="Q254">
        <f ca="1">IFERROR(__xludf.DUMMYFUNCTION("""COMPUTED_VALUE"""),38830)</f>
        <v>38830</v>
      </c>
      <c r="R254" t="str">
        <f ca="1">IFERROR(__xludf.DUMMYFUNCTION("""COMPUTED_VALUE"""),"ЯМНИЦА")</f>
        <v>ЯМНИЦА</v>
      </c>
      <c r="S254" t="str">
        <f ca="1">IFERROR(__xludf.DUMMYFUNCTION("""COMPUTED_VALUE"""),"10.08.21 21-00")</f>
        <v>10.08.21 21-00</v>
      </c>
      <c r="T254">
        <f ca="1">IFERROR(__xludf.DUMMYFUNCTION("""COMPUTED_VALUE"""),8199)</f>
        <v>8199</v>
      </c>
      <c r="U254" t="str">
        <f ca="1">IFERROR(__xludf.DUMMYFUNCTION("""COMPUTED_VALUE"""),"13.02.2022 ДР")</f>
        <v>13.02.2022 ДР</v>
      </c>
      <c r="Z254" t="str">
        <f ca="1">IFERROR(__xludf.DUMMYFUNCTION("""COMPUTED_VALUE"""),"ООО «БОРВИЙТРАНС»")</f>
        <v>ООО «БОРВИЙТРАНС»</v>
      </c>
      <c r="AA254" t="str">
        <f ca="1">IFERROR(__xludf.DUMMYFUNCTION("""COMPUTED_VALUE"""),"11-270")</f>
        <v>11-270</v>
      </c>
      <c r="AB254" t="str">
        <f ca="1">IFERROR(__xludf.DUMMYFUNCTION("""COMPUTED_VALUE"""),"43 ЮЖН")</f>
        <v>43 ЮЖН</v>
      </c>
      <c r="AC254" t="str">
        <f ca="1">IFERROR(__xludf.DUMMYFUNCTION("""COMPUTED_VALUE"""),"43000 КУПЯНСК-СОРТ")</f>
        <v>43000 КУПЯНСК-СОРТ</v>
      </c>
      <c r="AD254" t="str">
        <f ca="1">IFERROR(__xludf.DUMMYFUNCTION("""COMPUTED_VALUE"""),"11.02.19 17-59")</f>
        <v>11.02.19 17-59</v>
      </c>
      <c r="AE254" t="str">
        <f ca="1">IFERROR(__xludf.DUMMYFUNCTION("""COMPUTED_VALUE"""),"571 ИCТEК КAЛЕНДАРНЫЙ CPOК КAПИТAЛЬНОГО PEМOНТA")</f>
        <v>571 ИCТEК КAЛЕНДАРНЫЙ CPOК КAПИТAЛЬНОГО PEМOНТA</v>
      </c>
      <c r="AF254" t="str">
        <f ca="1">IFERROR(__xludf.DUMMYFUNCTION("""COMPUTED_VALUE"""),"43 ЮЖН")</f>
        <v>43 ЮЖН</v>
      </c>
      <c r="AG254" t="str">
        <f ca="1">IFERROR(__xludf.DUMMYFUNCTION("""COMPUTED_VALUE"""),"43000 КУПЯНСК-СОРТ")</f>
        <v>43000 КУПЯНСК-СОРТ</v>
      </c>
      <c r="AH254" t="str">
        <f ca="1">IFERROR(__xludf.DUMMYFUNCTION("""COMPUTED_VALUE"""),"13.02.19 12-35")</f>
        <v>13.02.19 12-35</v>
      </c>
      <c r="AI254" s="21">
        <f ca="1">IFERROR(__xludf.DUMMYFUNCTION("""COMPUTED_VALUE"""),44420.3576851851)</f>
        <v>44420.357685185103</v>
      </c>
    </row>
    <row r="255" spans="1:35" ht="13" x14ac:dyDescent="0.15">
      <c r="A255">
        <f ca="1">IFERROR(__xludf.DUMMYFUNCTION("""COMPUTED_VALUE"""),1398)</f>
        <v>1398</v>
      </c>
      <c r="B255" t="str">
        <f ca="1">IFERROR(__xludf.DUMMYFUNCTION("""COMPUTED_VALUE"""),"Илит")</f>
        <v>Илит</v>
      </c>
      <c r="C255" t="str">
        <f ca="1">IFERROR(__xludf.DUMMYFUNCTION("""COMPUTED_VALUE"""),"Илит")</f>
        <v>Илит</v>
      </c>
      <c r="D255">
        <f ca="1">IFERROR(__xludf.DUMMYFUNCTION("""COMPUTED_VALUE"""),24092439)</f>
        <v>24092439</v>
      </c>
      <c r="E255" t="str">
        <f ca="1">IFERROR(__xludf.DUMMYFUNCTION("""COMPUTED_VALUE"""),"20 КРЫТЫЕ")</f>
        <v>20 КРЫТЫЕ</v>
      </c>
      <c r="F255">
        <f ca="1">IFERROR(__xludf.DUMMYFUNCTION("""COMPUTED_VALUE"""),42103)</f>
        <v>42103</v>
      </c>
      <c r="G255" t="str">
        <f ca="1">IFERROR(__xludf.DUMMYFUNCTION("""COMPUTED_VALUE"""),"ВАГОНЫ ЖД СВ")</f>
        <v>ВАГОНЫ ЖД СВ</v>
      </c>
      <c r="H255">
        <f ca="1">IFERROR(__xludf.DUMMYFUNCTION("""COMPUTED_VALUE"""),0)</f>
        <v>0</v>
      </c>
      <c r="I255">
        <f ca="1">IFERROR(__xludf.DUMMYFUNCTION("""COMPUTED_VALUE"""),4149)</f>
        <v>4149</v>
      </c>
      <c r="J255" t="str">
        <f ca="1">IFERROR(__xludf.DUMMYFUNCTION("""COMPUTED_VALUE"""),"2831 (44020-300-49000) ОСНОВА - ЛИМАН")</f>
        <v>2831 (44020-300-49000) ОСНОВА - ЛИМАН</v>
      </c>
      <c r="K255">
        <f ca="1">IFERROR(__xludf.DUMMYFUNCTION("""COMPUTED_VALUE"""),49005)</f>
        <v>49005</v>
      </c>
      <c r="L255" t="str">
        <f ca="1">IFERROR(__xludf.DUMMYFUNCTION("""COMPUTED_VALUE"""),"ФОРПОСТНАЯ")</f>
        <v>ФОРПОСТНАЯ</v>
      </c>
      <c r="M255" t="str">
        <f ca="1">IFERROR(__xludf.DUMMYFUNCTION("""COMPUTED_VALUE"""),"12.08.21 08-19")</f>
        <v>12.08.21 08-19</v>
      </c>
      <c r="N255" t="str">
        <f ca="1">IFERROR(__xludf.DUMMYFUNCTION("""COMPUTED_VALUE"""),"03 ПРОС")</f>
        <v>03 ПРОС</v>
      </c>
      <c r="O255">
        <f ca="1">IFERROR(__xludf.DUMMYFUNCTION("""COMPUTED_VALUE"""),49620)</f>
        <v>49620</v>
      </c>
      <c r="P255" t="str">
        <f ca="1">IFERROR(__xludf.DUMMYFUNCTION("""COMPUTED_VALUE"""),"ДЕКОНСКАЯ")</f>
        <v>ДЕКОНСКАЯ</v>
      </c>
      <c r="Q255">
        <f ca="1">IFERROR(__xludf.DUMMYFUNCTION("""COMPUTED_VALUE"""),44000)</f>
        <v>44000</v>
      </c>
      <c r="R255" t="str">
        <f ca="1">IFERROR(__xludf.DUMMYFUNCTION("""COMPUTED_VALUE"""),"ХАРЬКОВ-СОРТ")</f>
        <v>ХАРЬКОВ-СОРТ</v>
      </c>
      <c r="S255" t="str">
        <f ca="1">IFERROR(__xludf.DUMMYFUNCTION("""COMPUTED_VALUE"""),"09.08.21 15-10")</f>
        <v>09.08.21 15-10</v>
      </c>
      <c r="T255">
        <f ca="1">IFERROR(__xludf.DUMMYFUNCTION("""COMPUTED_VALUE"""),1956)</f>
        <v>1956</v>
      </c>
      <c r="U255" t="str">
        <f ca="1">IFERROR(__xludf.DUMMYFUNCTION("""COMPUTED_VALUE"""),"13.11.2022 ДР")</f>
        <v>13.11.2022 ДР</v>
      </c>
      <c r="AA255" t="str">
        <f ca="1">IFERROR(__xludf.DUMMYFUNCTION("""COMPUTED_VALUE"""),"11-217")</f>
        <v>11-217</v>
      </c>
      <c r="AB255" t="str">
        <f ca="1">IFERROR(__xludf.DUMMYFUNCTION("""COMPUTED_VALUE"""),"43 ЮЖН")</f>
        <v>43 ЮЖН</v>
      </c>
      <c r="AC255" t="str">
        <f ca="1">IFERROR(__xludf.DUMMYFUNCTION("""COMPUTED_VALUE"""),"44020 ОСНОВА")</f>
        <v>44020 ОСНОВА</v>
      </c>
      <c r="AD255" t="str">
        <f ca="1">IFERROR(__xludf.DUMMYFUNCTION("""COMPUTED_VALUE"""),"15.04.21 12-00")</f>
        <v>15.04.21 12-00</v>
      </c>
      <c r="AE255" t="str">
        <f ca="1">IFERROR(__xludf.DUMMYFUNCTION("""COMPUTED_VALUE"""),"537")</f>
        <v>537</v>
      </c>
      <c r="AF255" t="str">
        <f ca="1">IFERROR(__xludf.DUMMYFUNCTION("""COMPUTED_VALUE"""),"43 ЮЖН")</f>
        <v>43 ЮЖН</v>
      </c>
      <c r="AG255" t="str">
        <f ca="1">IFERROR(__xludf.DUMMYFUNCTION("""COMPUTED_VALUE"""),"44020 ОСНОВА")</f>
        <v>44020 ОСНОВА</v>
      </c>
      <c r="AH255" t="str">
        <f ca="1">IFERROR(__xludf.DUMMYFUNCTION("""COMPUTED_VALUE"""),"19.04.21 17-30")</f>
        <v>19.04.21 17-30</v>
      </c>
      <c r="AI255" s="21">
        <f ca="1">IFERROR(__xludf.DUMMYFUNCTION("""COMPUTED_VALUE"""),44420.3576851851)</f>
        <v>44420.357685185103</v>
      </c>
    </row>
    <row r="256" spans="1:35" ht="13" x14ac:dyDescent="0.15">
      <c r="A256">
        <f ca="1">IFERROR(__xludf.DUMMYFUNCTION("""COMPUTED_VALUE"""),1399)</f>
        <v>1399</v>
      </c>
      <c r="B256" t="str">
        <f ca="1">IFERROR(__xludf.DUMMYFUNCTION("""COMPUTED_VALUE"""),"Илит")</f>
        <v>Илит</v>
      </c>
      <c r="C256" t="str">
        <f ca="1">IFERROR(__xludf.DUMMYFUNCTION("""COMPUTED_VALUE"""),"Илит")</f>
        <v>Илит</v>
      </c>
      <c r="D256">
        <f ca="1">IFERROR(__xludf.DUMMYFUNCTION("""COMPUTED_VALUE"""),52457058)</f>
        <v>52457058</v>
      </c>
      <c r="E256" t="str">
        <f ca="1">IFERROR(__xludf.DUMMYFUNCTION("""COMPUTED_VALUE"""),"20 КРЫТЫЕ")</f>
        <v>20 КРЫТЫЕ</v>
      </c>
      <c r="F256">
        <f ca="1">IFERROR(__xludf.DUMMYFUNCTION("""COMPUTED_VALUE"""),42103)</f>
        <v>42103</v>
      </c>
      <c r="G256" t="str">
        <f ca="1">IFERROR(__xludf.DUMMYFUNCTION("""COMPUTED_VALUE"""),"ВАГОНЫ ЖД СВ")</f>
        <v>ВАГОНЫ ЖД СВ</v>
      </c>
      <c r="H256">
        <f ca="1">IFERROR(__xludf.DUMMYFUNCTION("""COMPUTED_VALUE"""),0)</f>
        <v>0</v>
      </c>
      <c r="I256">
        <f ca="1">IFERROR(__xludf.DUMMYFUNCTION("""COMPUTED_VALUE"""),8199)</f>
        <v>8199</v>
      </c>
      <c r="J256" t="str">
        <f ca="1">IFERROR(__xludf.DUMMYFUNCTION("""COMPUTED_VALUE"""),"3652 (37000-726-37040) ЛЬВОВ - КЛЕПАРОВ")</f>
        <v>3652 (37000-726-37040) ЛЬВОВ - КЛЕПАРОВ</v>
      </c>
      <c r="K256">
        <f ca="1">IFERROR(__xludf.DUMMYFUNCTION("""COMPUTED_VALUE"""),37040)</f>
        <v>37040</v>
      </c>
      <c r="L256" t="str">
        <f ca="1">IFERROR(__xludf.DUMMYFUNCTION("""COMPUTED_VALUE"""),"КЛЕПАРОВ")</f>
        <v>КЛЕПАРОВ</v>
      </c>
      <c r="M256" t="str">
        <f ca="1">IFERROR(__xludf.DUMMYFUNCTION("""COMPUTED_VALUE"""),"12.08.21 03-30")</f>
        <v>12.08.21 03-30</v>
      </c>
      <c r="N256" t="str">
        <f ca="1">IFERROR(__xludf.DUMMYFUNCTION("""COMPUTED_VALUE"""),"01 ПРИБ")</f>
        <v>01 ПРИБ</v>
      </c>
      <c r="O256">
        <f ca="1">IFERROR(__xludf.DUMMYFUNCTION("""COMPUTED_VALUE"""),38830)</f>
        <v>38830</v>
      </c>
      <c r="P256" t="str">
        <f ca="1">IFERROR(__xludf.DUMMYFUNCTION("""COMPUTED_VALUE"""),"ЯМНИЦА")</f>
        <v>ЯМНИЦА</v>
      </c>
      <c r="Q256">
        <f ca="1">IFERROR(__xludf.DUMMYFUNCTION("""COMPUTED_VALUE"""),37030)</f>
        <v>37030</v>
      </c>
      <c r="R256" t="str">
        <f ca="1">IFERROR(__xludf.DUMMYFUNCTION("""COMPUTED_VALUE"""),"СКНИЛОВ")</f>
        <v>СКНИЛОВ</v>
      </c>
      <c r="S256" t="str">
        <f ca="1">IFERROR(__xludf.DUMMYFUNCTION("""COMPUTED_VALUE"""),"07.08.21 14-00")</f>
        <v>07.08.21 14-00</v>
      </c>
      <c r="T256">
        <f ca="1">IFERROR(__xludf.DUMMYFUNCTION("""COMPUTED_VALUE"""),1956)</f>
        <v>1956</v>
      </c>
      <c r="U256" t="str">
        <f ca="1">IFERROR(__xludf.DUMMYFUNCTION("""COMPUTED_VALUE"""),"30.05.2022 ДР")</f>
        <v>30.05.2022 ДР</v>
      </c>
      <c r="Z256" t="str">
        <f ca="1">IFERROR(__xludf.DUMMYFUNCTION("""COMPUTED_VALUE"""),"ООО ""Ф.М.С. групп""")</f>
        <v>ООО "Ф.М.С. групп"</v>
      </c>
      <c r="AA256" t="str">
        <f ca="1">IFERROR(__xludf.DUMMYFUNCTION("""COMPUTED_VALUE"""),"11-217")</f>
        <v>11-217</v>
      </c>
      <c r="AB256" t="str">
        <f ca="1">IFERROR(__xludf.DUMMYFUNCTION("""COMPUTED_VALUE"""),"40 ОД")</f>
        <v>40 ОД</v>
      </c>
      <c r="AC256" t="str">
        <f ca="1">IFERROR(__xludf.DUMMYFUNCTION("""COMPUTED_VALUE"""),"41780 ХЕРСОН")</f>
        <v>41780 ХЕРСОН</v>
      </c>
      <c r="AD256" t="str">
        <f ca="1">IFERROR(__xludf.DUMMYFUNCTION("""COMPUTED_VALUE"""),"27.06.21 08-05")</f>
        <v>27.06.21 08-05</v>
      </c>
      <c r="AE256" t="str">
        <f ca="1">IFERROR(__xludf.DUMMYFUNCTION("""COMPUTED_VALUE"""),"537 НEИCПPAВНOCТЬ ЗAПOPA ДВEPИ")</f>
        <v>537 НEИCПPAВНOCТЬ ЗAПOPA ДВEPИ</v>
      </c>
      <c r="AF256" t="str">
        <f ca="1">IFERROR(__xludf.DUMMYFUNCTION("""COMPUTED_VALUE"""),"40 ОД")</f>
        <v>40 ОД</v>
      </c>
      <c r="AG256" t="str">
        <f ca="1">IFERROR(__xludf.DUMMYFUNCTION("""COMPUTED_VALUE"""),"41780 ХЕРСОН")</f>
        <v>41780 ХЕРСОН</v>
      </c>
      <c r="AH256" t="str">
        <f ca="1">IFERROR(__xludf.DUMMYFUNCTION("""COMPUTED_VALUE"""),"01.07.21 15-50")</f>
        <v>01.07.21 15-50</v>
      </c>
      <c r="AI256" s="21">
        <f ca="1">IFERROR(__xludf.DUMMYFUNCTION("""COMPUTED_VALUE"""),44420.3576851851)</f>
        <v>44420.357685185103</v>
      </c>
    </row>
    <row r="257" spans="1:35" ht="13" x14ac:dyDescent="0.15">
      <c r="A257">
        <f ca="1">IFERROR(__xludf.DUMMYFUNCTION("""COMPUTED_VALUE"""),1400)</f>
        <v>1400</v>
      </c>
      <c r="B257" t="str">
        <f ca="1">IFERROR(__xludf.DUMMYFUNCTION("""COMPUTED_VALUE"""),"Илит")</f>
        <v>Илит</v>
      </c>
      <c r="C257" t="str">
        <f ca="1">IFERROR(__xludf.DUMMYFUNCTION("""COMPUTED_VALUE"""),"Илит")</f>
        <v>Илит</v>
      </c>
      <c r="D257">
        <f ca="1">IFERROR(__xludf.DUMMYFUNCTION("""COMPUTED_VALUE"""),52428364)</f>
        <v>52428364</v>
      </c>
      <c r="E257" t="str">
        <f ca="1">IFERROR(__xludf.DUMMYFUNCTION("""COMPUTED_VALUE"""),"20 КРЫТЫЕ")</f>
        <v>20 КРЫТЫЕ</v>
      </c>
      <c r="F257">
        <f ca="1">IFERROR(__xludf.DUMMYFUNCTION("""COMPUTED_VALUE"""),25123)</f>
        <v>25123</v>
      </c>
      <c r="G257" t="str">
        <f ca="1">IFERROR(__xludf.DUMMYFUNCTION("""COMPUTED_VALUE"""),"ПЛИТЫ ГИПСОВ")</f>
        <v>ПЛИТЫ ГИПСОВ</v>
      </c>
      <c r="H257">
        <f ca="1">IFERROR(__xludf.DUMMYFUNCTION("""COMPUTED_VALUE"""),52)</f>
        <v>52</v>
      </c>
      <c r="I257">
        <f ca="1">IFERROR(__xludf.DUMMYFUNCTION("""COMPUTED_VALUE"""),889)</f>
        <v>889</v>
      </c>
      <c r="J257" t="str">
        <f ca="1">IFERROR(__xludf.DUMMYFUNCTION("""COMPUTED_VALUE"""),"4831 (49640-037-49460)  - БАХМУТ")</f>
        <v>4831 (49640-037-49460)  - БАХМУТ</v>
      </c>
      <c r="K257">
        <f ca="1">IFERROR(__xludf.DUMMYFUNCTION("""COMPUTED_VALUE"""),49460)</f>
        <v>49460</v>
      </c>
      <c r="L257" t="str">
        <f ca="1">IFERROR(__xludf.DUMMYFUNCTION("""COMPUTED_VALUE"""),"БАХМУТ")</f>
        <v>БАХМУТ</v>
      </c>
      <c r="M257" t="str">
        <f ca="1">IFERROR(__xludf.DUMMYFUNCTION("""COMPUTED_VALUE"""),"12.08.21 07-00")</f>
        <v>12.08.21 07-00</v>
      </c>
      <c r="N257" t="str">
        <f ca="1">IFERROR(__xludf.DUMMYFUNCTION("""COMPUTED_VALUE"""),"04 РАСФ")</f>
        <v>04 РАСФ</v>
      </c>
      <c r="O257">
        <f ca="1">IFERROR(__xludf.DUMMYFUNCTION("""COMPUTED_VALUE"""),41520)</f>
        <v>41520</v>
      </c>
      <c r="P257" t="str">
        <f ca="1">IFERROR(__xludf.DUMMYFUNCTION("""COMPUTED_VALUE"""),"НИКОЛАЕВ-ГРУ")</f>
        <v>НИКОЛАЕВ-ГРУ</v>
      </c>
      <c r="Q257">
        <f ca="1">IFERROR(__xludf.DUMMYFUNCTION("""COMPUTED_VALUE"""),49620)</f>
        <v>49620</v>
      </c>
      <c r="R257" t="str">
        <f ca="1">IFERROR(__xludf.DUMMYFUNCTION("""COMPUTED_VALUE"""),"ДЕКОНСКАЯ")</f>
        <v>ДЕКОНСКАЯ</v>
      </c>
      <c r="S257" t="str">
        <f ca="1">IFERROR(__xludf.DUMMYFUNCTION("""COMPUTED_VALUE"""),"11.08.21 20-10")</f>
        <v>11.08.21 20-10</v>
      </c>
      <c r="T257">
        <f ca="1">IFERROR(__xludf.DUMMYFUNCTION("""COMPUTED_VALUE"""),4149)</f>
        <v>4149</v>
      </c>
      <c r="U257" t="str">
        <f ca="1">IFERROR(__xludf.DUMMYFUNCTION("""COMPUTED_VALUE"""),"04.09.2022 ДР")</f>
        <v>04.09.2022 ДР</v>
      </c>
      <c r="Z257" t="str">
        <f ca="1">IFERROR(__xludf.DUMMYFUNCTION("""COMPUTED_VALUE"""),"ООО ""АЗОВЕВРОТРАНС""")</f>
        <v>ООО "АЗОВЕВРОТРАНС"</v>
      </c>
      <c r="AA257" t="str">
        <f ca="1">IFERROR(__xludf.DUMMYFUNCTION("""COMPUTED_VALUE"""),"11-270")</f>
        <v>11-270</v>
      </c>
      <c r="AB257" t="str">
        <f ca="1">IFERROR(__xludf.DUMMYFUNCTION("""COMPUTED_VALUE"""),"35 ЛЬВ")</f>
        <v>35 ЛЬВ</v>
      </c>
      <c r="AC257" t="str">
        <f ca="1">IFERROR(__xludf.DUMMYFUNCTION("""COMPUTED_VALUE"""),"37040 КЛЕПАРОВ")</f>
        <v>37040 КЛЕПАРОВ</v>
      </c>
      <c r="AD257" t="str">
        <f ca="1">IFERROR(__xludf.DUMMYFUNCTION("""COMPUTED_VALUE"""),"03.10.20 05-30")</f>
        <v>03.10.20 05-30</v>
      </c>
      <c r="AE257" t="str">
        <f ca="1">IFERROR(__xludf.DUMMYFUNCTION("""COMPUTED_VALUE"""),"537 НEИCПPAВНOCТЬ ЗAПOPA ДВEPИ")</f>
        <v>537 НEИCПPAВНOCТЬ ЗAПOPA ДВEPИ</v>
      </c>
      <c r="AF257" t="str">
        <f ca="1">IFERROR(__xludf.DUMMYFUNCTION("""COMPUTED_VALUE"""),"35 ЛЬВ")</f>
        <v>35 ЛЬВ</v>
      </c>
      <c r="AG257" t="str">
        <f ca="1">IFERROR(__xludf.DUMMYFUNCTION("""COMPUTED_VALUE"""),"37040 КЛЕПАРОВ")</f>
        <v>37040 КЛЕПАРОВ</v>
      </c>
      <c r="AH257" t="str">
        <f ca="1">IFERROR(__xludf.DUMMYFUNCTION("""COMPUTED_VALUE"""),"09.10.20 14-30")</f>
        <v>09.10.20 14-30</v>
      </c>
      <c r="AI257" s="21">
        <f ca="1">IFERROR(__xludf.DUMMYFUNCTION("""COMPUTED_VALUE"""),44420.3576851851)</f>
        <v>44420.357685185103</v>
      </c>
    </row>
    <row r="258" spans="1:35" ht="13" x14ac:dyDescent="0.15">
      <c r="A258">
        <f ca="1">IFERROR(__xludf.DUMMYFUNCTION("""COMPUTED_VALUE"""),1401)</f>
        <v>1401</v>
      </c>
      <c r="B258" t="str">
        <f ca="1">IFERROR(__xludf.DUMMYFUNCTION("""COMPUTED_VALUE"""),"Илит")</f>
        <v>Илит</v>
      </c>
      <c r="C258" t="str">
        <f ca="1">IFERROR(__xludf.DUMMYFUNCTION("""COMPUTED_VALUE"""),"Илит")</f>
        <v>Илит</v>
      </c>
      <c r="D258">
        <f ca="1">IFERROR(__xludf.DUMMYFUNCTION("""COMPUTED_VALUE"""),52428208)</f>
        <v>52428208</v>
      </c>
      <c r="E258" t="str">
        <f ca="1">IFERROR(__xludf.DUMMYFUNCTION("""COMPUTED_VALUE"""),"20 КРЫТЫЕ")</f>
        <v>20 КРЫТЫЕ</v>
      </c>
      <c r="F258">
        <f ca="1">IFERROR(__xludf.DUMMYFUNCTION("""COMPUTED_VALUE"""),42119)</f>
        <v>42119</v>
      </c>
      <c r="G258" t="str">
        <f ca="1">IFERROR(__xludf.DUMMYFUNCTION("""COMPUTED_VALUE"""),"ВАГОНЫ ЖД РЕМОН")</f>
        <v>ВАГОНЫ ЖД РЕМОН</v>
      </c>
      <c r="H258">
        <f ca="1">IFERROR(__xludf.DUMMYFUNCTION("""COMPUTED_VALUE"""),0)</f>
        <v>0</v>
      </c>
      <c r="I258">
        <f ca="1">IFERROR(__xludf.DUMMYFUNCTION("""COMPUTED_VALUE"""),9786)</f>
        <v>9786</v>
      </c>
      <c r="J258" t="str">
        <f ca="1">IFERROR(__xludf.DUMMYFUNCTION("""COMPUTED_VALUE"""),"3802 (49640-063-49620)  - ДЕКОНСКАЯ")</f>
        <v>3802 (49640-063-49620)  - ДЕКОНСКАЯ</v>
      </c>
      <c r="K258">
        <f ca="1">IFERROR(__xludf.DUMMYFUNCTION("""COMPUTED_VALUE"""),49620)</f>
        <v>49620</v>
      </c>
      <c r="L258" t="str">
        <f ca="1">IFERROR(__xludf.DUMMYFUNCTION("""COMPUTED_VALUE"""),"ДЕКОНСКАЯ")</f>
        <v>ДЕКОНСКАЯ</v>
      </c>
      <c r="M258" t="str">
        <f ca="1">IFERROR(__xludf.DUMMYFUNCTION("""COMPUTED_VALUE"""),"11.08.21 20-10")</f>
        <v>11.08.21 20-10</v>
      </c>
      <c r="N258" t="str">
        <f ca="1">IFERROR(__xludf.DUMMYFUNCTION("""COMPUTED_VALUE"""),"97 ОКОТ")</f>
        <v>97 ОКОТ</v>
      </c>
      <c r="O258">
        <f ca="1">IFERROR(__xludf.DUMMYFUNCTION("""COMPUTED_VALUE"""),49480)</f>
        <v>49480</v>
      </c>
      <c r="P258" t="str">
        <f ca="1">IFERROR(__xludf.DUMMYFUNCTION("""COMPUTED_VALUE"""),"СОЛЬ")</f>
        <v>СОЛЬ</v>
      </c>
      <c r="Q258">
        <f ca="1">IFERROR(__xludf.DUMMYFUNCTION("""COMPUTED_VALUE"""),49620)</f>
        <v>49620</v>
      </c>
      <c r="R258" t="str">
        <f ca="1">IFERROR(__xludf.DUMMYFUNCTION("""COMPUTED_VALUE"""),"ДЕКОНСКАЯ")</f>
        <v>ДЕКОНСКАЯ</v>
      </c>
      <c r="S258" t="str">
        <f ca="1">IFERROR(__xludf.DUMMYFUNCTION("""COMPUTED_VALUE"""),"11.08.21 20-10")</f>
        <v>11.08.21 20-10</v>
      </c>
      <c r="T258">
        <f ca="1">IFERROR(__xludf.DUMMYFUNCTION("""COMPUTED_VALUE"""),4149)</f>
        <v>4149</v>
      </c>
      <c r="U258" t="str">
        <f ca="1">IFERROR(__xludf.DUMMYFUNCTION("""COMPUTED_VALUE"""),"19.07.2022 ДР")</f>
        <v>19.07.2022 ДР</v>
      </c>
      <c r="Z258" t="str">
        <f ca="1">IFERROR(__xludf.DUMMYFUNCTION("""COMPUTED_VALUE"""),"ООО ""АЗОВЕВРОТРАНС""")</f>
        <v>ООО "АЗОВЕВРОТРАНС"</v>
      </c>
      <c r="AA258" t="str">
        <f ca="1">IFERROR(__xludf.DUMMYFUNCTION("""COMPUTED_VALUE"""),"11-270")</f>
        <v>11-270</v>
      </c>
      <c r="AB258" t="str">
        <f ca="1">IFERROR(__xludf.DUMMYFUNCTION("""COMPUTED_VALUE"""),"48 ДОН")</f>
        <v>48 ДОН</v>
      </c>
      <c r="AC258" t="str">
        <f ca="1">IFERROR(__xludf.DUMMYFUNCTION("""COMPUTED_VALUE"""),"49620 ДЕКОНСКАЯ")</f>
        <v>49620 ДЕКОНСКАЯ</v>
      </c>
      <c r="AD258" t="str">
        <f ca="1">IFERROR(__xludf.DUMMYFUNCTION("""COMPUTED_VALUE"""),"09.08.21 06-45")</f>
        <v>09.08.21 06-45</v>
      </c>
      <c r="AE258" t="str">
        <f ca="1">IFERROR(__xludf.DUMMYFUNCTION("""COMPUTED_VALUE"""),"537 НEИCПPAВНOCТЬ ЗAПOPA ДВEPИ")</f>
        <v>537 НEИCПPAВНOCТЬ ЗAПOPA ДВEPИ</v>
      </c>
      <c r="AF258" t="str">
        <f ca="1">IFERROR(__xludf.DUMMYFUNCTION("""COMPUTED_VALUE"""),"48 ДОН")</f>
        <v>48 ДОН</v>
      </c>
      <c r="AG258" t="str">
        <f ca="1">IFERROR(__xludf.DUMMYFUNCTION("""COMPUTED_VALUE"""),"49480 СОЛЬ")</f>
        <v>49480 СОЛЬ</v>
      </c>
      <c r="AH258" t="str">
        <f ca="1">IFERROR(__xludf.DUMMYFUNCTION("""COMPUTED_VALUE"""),"05.02.21 16-30")</f>
        <v>05.02.21 16-30</v>
      </c>
      <c r="AI258" s="21">
        <f ca="1">IFERROR(__xludf.DUMMYFUNCTION("""COMPUTED_VALUE"""),44420.3576851851)</f>
        <v>44420.357685185103</v>
      </c>
    </row>
    <row r="259" spans="1:35" ht="13" x14ac:dyDescent="0.15">
      <c r="A259">
        <f ca="1">IFERROR(__xludf.DUMMYFUNCTION("""COMPUTED_VALUE"""),1402)</f>
        <v>1402</v>
      </c>
      <c r="B259" t="str">
        <f ca="1">IFERROR(__xludf.DUMMYFUNCTION("""COMPUTED_VALUE"""),"Илит")</f>
        <v>Илит</v>
      </c>
      <c r="C259" t="str">
        <f ca="1">IFERROR(__xludf.DUMMYFUNCTION("""COMPUTED_VALUE"""),"Илит")</f>
        <v>Илит</v>
      </c>
      <c r="D259">
        <f ca="1">IFERROR(__xludf.DUMMYFUNCTION("""COMPUTED_VALUE"""),24383440)</f>
        <v>24383440</v>
      </c>
      <c r="E259" t="str">
        <f ca="1">IFERROR(__xludf.DUMMYFUNCTION("""COMPUTED_VALUE"""),"20 КРЫТЫЕ")</f>
        <v>20 КРЫТЫЕ</v>
      </c>
      <c r="F259">
        <f ca="1">IFERROR(__xludf.DUMMYFUNCTION("""COMPUTED_VALUE"""),28114)</f>
        <v>28114</v>
      </c>
      <c r="G259" t="str">
        <f ca="1">IFERROR(__xludf.DUMMYFUNCTION("""COMPUTED_VALUE"""),"ЦЕМЕНТ ПР")</f>
        <v>ЦЕМЕНТ ПР</v>
      </c>
      <c r="H259">
        <f ca="1">IFERROR(__xludf.DUMMYFUNCTION("""COMPUTED_VALUE"""),68)</f>
        <v>68</v>
      </c>
      <c r="I259">
        <f ca="1">IFERROR(__xludf.DUMMYFUNCTION("""COMPUTED_VALUE"""),3014)</f>
        <v>3014</v>
      </c>
      <c r="J259" t="str">
        <f ca="1">IFERROR(__xludf.DUMMYFUNCTION("""COMPUTED_VALUE"""),"2346 (38830-080-37000) ЯМНИЦА - ЛЬВОВ")</f>
        <v>2346 (38830-080-37000) ЯМНИЦА - ЛЬВОВ</v>
      </c>
      <c r="K259">
        <f ca="1">IFERROR(__xludf.DUMMYFUNCTION("""COMPUTED_VALUE"""),37000)</f>
        <v>37000</v>
      </c>
      <c r="L259" t="str">
        <f ca="1">IFERROR(__xludf.DUMMYFUNCTION("""COMPUTED_VALUE"""),"ЛЬВОВ")</f>
        <v>ЛЬВОВ</v>
      </c>
      <c r="M259" t="str">
        <f ca="1">IFERROR(__xludf.DUMMYFUNCTION("""COMPUTED_VALUE"""),"12.08.21 00-54")</f>
        <v>12.08.21 00-54</v>
      </c>
      <c r="N259" t="str">
        <f ca="1">IFERROR(__xludf.DUMMYFUNCTION("""COMPUTED_VALUE"""),"01 ПРИБ")</f>
        <v>01 ПРИБ</v>
      </c>
      <c r="O259">
        <f ca="1">IFERROR(__xludf.DUMMYFUNCTION("""COMPUTED_VALUE"""),44540)</f>
        <v>44540</v>
      </c>
      <c r="P259" t="str">
        <f ca="1">IFERROR(__xludf.DUMMYFUNCTION("""COMPUTED_VALUE"""),"СУМЫ-ТОВ")</f>
        <v>СУМЫ-ТОВ</v>
      </c>
      <c r="Q259">
        <f ca="1">IFERROR(__xludf.DUMMYFUNCTION("""COMPUTED_VALUE"""),38830)</f>
        <v>38830</v>
      </c>
      <c r="R259" t="str">
        <f ca="1">IFERROR(__xludf.DUMMYFUNCTION("""COMPUTED_VALUE"""),"ЯМНИЦА")</f>
        <v>ЯМНИЦА</v>
      </c>
      <c r="S259" t="str">
        <f ca="1">IFERROR(__xludf.DUMMYFUNCTION("""COMPUTED_VALUE"""),"10.08.21 10-00")</f>
        <v>10.08.21 10-00</v>
      </c>
      <c r="T259">
        <f ca="1">IFERROR(__xludf.DUMMYFUNCTION("""COMPUTED_VALUE"""),8199)</f>
        <v>8199</v>
      </c>
      <c r="U259" t="str">
        <f ca="1">IFERROR(__xludf.DUMMYFUNCTION("""COMPUTED_VALUE"""),"08.11.2022 ДР")</f>
        <v>08.11.2022 ДР</v>
      </c>
      <c r="AA259" t="str">
        <f ca="1">IFERROR(__xludf.DUMMYFUNCTION("""COMPUTED_VALUE"""),"11-217")</f>
        <v>11-217</v>
      </c>
      <c r="AB259" t="str">
        <f ca="1">IFERROR(__xludf.DUMMYFUNCTION("""COMPUTED_VALUE"""),"35 ЛЬВ")</f>
        <v>35 ЛЬВ</v>
      </c>
      <c r="AC259" t="str">
        <f ca="1">IFERROR(__xludf.DUMMYFUNCTION("""COMPUTED_VALUE"""),"35250 ИЗОВ")</f>
        <v>35250 ИЗОВ</v>
      </c>
      <c r="AD259" t="str">
        <f ca="1">IFERROR(__xludf.DUMMYFUNCTION("""COMPUTED_VALUE"""),"11.05.20 11-06")</f>
        <v>11.05.20 11-06</v>
      </c>
      <c r="AE259" t="str">
        <f ca="1">IFERROR(__xludf.DUMMYFUNCTION("""COMPUTED_VALUE"""),"234")</f>
        <v>234</v>
      </c>
      <c r="AF259" t="str">
        <f ca="1">IFERROR(__xludf.DUMMYFUNCTION("""COMPUTED_VALUE"""),"35 ЛЬВ")</f>
        <v>35 ЛЬВ</v>
      </c>
      <c r="AG259" t="str">
        <f ca="1">IFERROR(__xludf.DUMMYFUNCTION("""COMPUTED_VALUE"""),"35250 ИЗОВ")</f>
        <v>35250 ИЗОВ</v>
      </c>
      <c r="AH259" t="str">
        <f ca="1">IFERROR(__xludf.DUMMYFUNCTION("""COMPUTED_VALUE"""),"13.05.20 16-00")</f>
        <v>13.05.20 16-00</v>
      </c>
      <c r="AI259" s="21">
        <f ca="1">IFERROR(__xludf.DUMMYFUNCTION("""COMPUTED_VALUE"""),44420.3576851851)</f>
        <v>44420.357685185103</v>
      </c>
    </row>
    <row r="260" spans="1:35" ht="13" x14ac:dyDescent="0.15">
      <c r="A260">
        <f ca="1">IFERROR(__xludf.DUMMYFUNCTION("""COMPUTED_VALUE"""),1403)</f>
        <v>1403</v>
      </c>
      <c r="B260" t="str">
        <f ca="1">IFERROR(__xludf.DUMMYFUNCTION("""COMPUTED_VALUE"""),"Илит")</f>
        <v>Илит</v>
      </c>
      <c r="C260" t="str">
        <f ca="1">IFERROR(__xludf.DUMMYFUNCTION("""COMPUTED_VALUE"""),"Илит")</f>
        <v>Илит</v>
      </c>
      <c r="D260">
        <f ca="1">IFERROR(__xludf.DUMMYFUNCTION("""COMPUTED_VALUE"""),24201170)</f>
        <v>24201170</v>
      </c>
      <c r="E260" t="str">
        <f ca="1">IFERROR(__xludf.DUMMYFUNCTION("""COMPUTED_VALUE"""),"20 КРЫТЫЕ")</f>
        <v>20 КРЫТЫЕ</v>
      </c>
      <c r="F260">
        <f ca="1">IFERROR(__xludf.DUMMYFUNCTION("""COMPUTED_VALUE"""),23304)</f>
        <v>23304</v>
      </c>
      <c r="G260" t="str">
        <f ca="1">IFERROR(__xludf.DUMMYFUNCTION("""COMPUTED_VALUE"""),"ГИПС ПР")</f>
        <v>ГИПС ПР</v>
      </c>
      <c r="H260">
        <f ca="1">IFERROR(__xludf.DUMMYFUNCTION("""COMPUTED_VALUE"""),66)</f>
        <v>66</v>
      </c>
      <c r="I260">
        <f ca="1">IFERROR(__xludf.DUMMYFUNCTION("""COMPUTED_VALUE"""),1559)</f>
        <v>1559</v>
      </c>
      <c r="J260" t="str">
        <f ca="1">IFERROR(__xludf.DUMMYFUNCTION("""COMPUTED_VALUE"""),"3653 (32000-441-32060) ДАРНИЦА - ПОЧАЙНА")</f>
        <v>3653 (32000-441-32060) ДАРНИЦА - ПОЧАЙНА</v>
      </c>
      <c r="K260">
        <f ca="1">IFERROR(__xludf.DUMMYFUNCTION("""COMPUTED_VALUE"""),32060)</f>
        <v>32060</v>
      </c>
      <c r="L260" t="str">
        <f ca="1">IFERROR(__xludf.DUMMYFUNCTION("""COMPUTED_VALUE"""),"ПОЧАЙНА")</f>
        <v>ПОЧАЙНА</v>
      </c>
      <c r="M260" t="str">
        <f ca="1">IFERROR(__xludf.DUMMYFUNCTION("""COMPUTED_VALUE"""),"10.08.21 11-40")</f>
        <v>10.08.21 11-40</v>
      </c>
      <c r="N260" t="str">
        <f ca="1">IFERROR(__xludf.DUMMYFUNCTION("""COMPUTED_VALUE"""),"21 ВЫГ2")</f>
        <v>21 ВЫГ2</v>
      </c>
      <c r="O260">
        <f ca="1">IFERROR(__xludf.DUMMYFUNCTION("""COMPUTED_VALUE"""),32060)</f>
        <v>32060</v>
      </c>
      <c r="P260" t="str">
        <f ca="1">IFERROR(__xludf.DUMMYFUNCTION("""COMPUTED_VALUE"""),"ПОЧАЙНА")</f>
        <v>ПОЧАЙНА</v>
      </c>
      <c r="Q260">
        <f ca="1">IFERROR(__xludf.DUMMYFUNCTION("""COMPUTED_VALUE"""),49620)</f>
        <v>49620</v>
      </c>
      <c r="R260" t="str">
        <f ca="1">IFERROR(__xludf.DUMMYFUNCTION("""COMPUTED_VALUE"""),"ДЕКОНСКАЯ")</f>
        <v>ДЕКОНСКАЯ</v>
      </c>
      <c r="S260" t="str">
        <f ca="1">IFERROR(__xludf.DUMMYFUNCTION("""COMPUTED_VALUE"""),"05.08.21 09-00")</f>
        <v>05.08.21 09-00</v>
      </c>
      <c r="U260" t="str">
        <f ca="1">IFERROR(__xludf.DUMMYFUNCTION("""COMPUTED_VALUE"""),"30.11.2023 ДР")</f>
        <v>30.11.2023 ДР</v>
      </c>
      <c r="Z260" t="str">
        <f ca="1">IFERROR(__xludf.DUMMYFUNCTION("""COMPUTED_VALUE"""),"ООО «СТК «РОУД»")</f>
        <v>ООО «СТК «РОУД»</v>
      </c>
      <c r="AA260" t="str">
        <f ca="1">IFERROR(__xludf.DUMMYFUNCTION("""COMPUTED_VALUE"""),"11-217")</f>
        <v>11-217</v>
      </c>
      <c r="AB260" t="str">
        <f ca="1">IFERROR(__xludf.DUMMYFUNCTION("""COMPUTED_VALUE"""),"48 ДОН")</f>
        <v>48 ДОН</v>
      </c>
      <c r="AC260" t="str">
        <f ca="1">IFERROR(__xludf.DUMMYFUNCTION("""COMPUTED_VALUE"""),"48200 ПОКРОВСК")</f>
        <v>48200 ПОКРОВСК</v>
      </c>
      <c r="AD260" t="str">
        <f ca="1">IFERROR(__xludf.DUMMYFUNCTION("""COMPUTED_VALUE"""),"27.10.20 15-00")</f>
        <v>27.10.20 15-00</v>
      </c>
      <c r="AE260" t="str">
        <f ca="1">IFERROR(__xludf.DUMMYFUNCTION("""COMPUTED_VALUE"""),"571 ИCТEК КAЛЕНДАРНЫЙ CPOК КAПИТAЛЬНОГО PEМOНТA")</f>
        <v>571 ИCТEК КAЛЕНДАРНЫЙ CPOК КAПИТAЛЬНОГО PEМOНТA</v>
      </c>
      <c r="AF260" t="str">
        <f ca="1">IFERROR(__xludf.DUMMYFUNCTION("""COMPUTED_VALUE"""),"48 ДОН")</f>
        <v>48 ДОН</v>
      </c>
      <c r="AG260" t="str">
        <f ca="1">IFERROR(__xludf.DUMMYFUNCTION("""COMPUTED_VALUE"""),"48200 ПОКРОВСК")</f>
        <v>48200 ПОКРОВСК</v>
      </c>
      <c r="AH260" t="str">
        <f ca="1">IFERROR(__xludf.DUMMYFUNCTION("""COMPUTED_VALUE"""),"30.11.20 11-00")</f>
        <v>30.11.20 11-00</v>
      </c>
      <c r="AI260" s="21">
        <f ca="1">IFERROR(__xludf.DUMMYFUNCTION("""COMPUTED_VALUE"""),44420.3576851851)</f>
        <v>44420.357685185103</v>
      </c>
    </row>
    <row r="261" spans="1:35" ht="13" x14ac:dyDescent="0.15">
      <c r="A261">
        <f ca="1">IFERROR(__xludf.DUMMYFUNCTION("""COMPUTED_VALUE"""),1404)</f>
        <v>1404</v>
      </c>
      <c r="B261" t="str">
        <f ca="1">IFERROR(__xludf.DUMMYFUNCTION("""COMPUTED_VALUE"""),"Илит")</f>
        <v>Илит</v>
      </c>
      <c r="C261" t="str">
        <f ca="1">IFERROR(__xludf.DUMMYFUNCTION("""COMPUTED_VALUE"""),"Илит")</f>
        <v>Илит</v>
      </c>
      <c r="D261">
        <f ca="1">IFERROR(__xludf.DUMMYFUNCTION("""COMPUTED_VALUE"""),52582442)</f>
        <v>52582442</v>
      </c>
      <c r="E261" t="str">
        <f ca="1">IFERROR(__xludf.DUMMYFUNCTION("""COMPUTED_VALUE"""),"20 КРЫТЫЕ")</f>
        <v>20 КРЫТЫЕ</v>
      </c>
      <c r="F261">
        <f ca="1">IFERROR(__xludf.DUMMYFUNCTION("""COMPUTED_VALUE"""),42103)</f>
        <v>42103</v>
      </c>
      <c r="G261" t="str">
        <f ca="1">IFERROR(__xludf.DUMMYFUNCTION("""COMPUTED_VALUE"""),"ВАГОНЫ ЖД СВ")</f>
        <v>ВАГОНЫ ЖД СВ</v>
      </c>
      <c r="H261">
        <f ca="1">IFERROR(__xludf.DUMMYFUNCTION("""COMPUTED_VALUE"""),0)</f>
        <v>0</v>
      </c>
      <c r="I261">
        <f ca="1">IFERROR(__xludf.DUMMYFUNCTION("""COMPUTED_VALUE"""),3418)</f>
        <v>3418</v>
      </c>
      <c r="J261" t="str">
        <f ca="1">IFERROR(__xludf.DUMMYFUNCTION("""COMPUTED_VALUE"""),"3503 (45000-350-45070) НИЖНЕДН-УЗЕЛ - НИЖНЕДН-ПРИС")</f>
        <v>3503 (45000-350-45070) НИЖНЕДН-УЗЕЛ - НИЖНЕДН-ПРИС</v>
      </c>
      <c r="K261">
        <f ca="1">IFERROR(__xludf.DUMMYFUNCTION("""COMPUTED_VALUE"""),45060)</f>
        <v>45060</v>
      </c>
      <c r="L261" t="str">
        <f ca="1">IFERROR(__xludf.DUMMYFUNCTION("""COMPUTED_VALUE"""),"НИЖНЕДНЕПРОВ")</f>
        <v>НИЖНЕДНЕПРОВ</v>
      </c>
      <c r="M261" t="str">
        <f ca="1">IFERROR(__xludf.DUMMYFUNCTION("""COMPUTED_VALUE"""),"11.08.21 17-40")</f>
        <v>11.08.21 17-40</v>
      </c>
      <c r="N261" t="str">
        <f ca="1">IFERROR(__xludf.DUMMYFUNCTION("""COMPUTED_VALUE"""),"98 ОТОТ")</f>
        <v>98 ОТОТ</v>
      </c>
      <c r="O261">
        <f ca="1">IFERROR(__xludf.DUMMYFUNCTION("""COMPUTED_VALUE"""),45060)</f>
        <v>45060</v>
      </c>
      <c r="P261" t="str">
        <f ca="1">IFERROR(__xludf.DUMMYFUNCTION("""COMPUTED_VALUE"""),"НИЖНЕДНЕПРОВ")</f>
        <v>НИЖНЕДНЕПРОВ</v>
      </c>
      <c r="Q261">
        <f ca="1">IFERROR(__xludf.DUMMYFUNCTION("""COMPUTED_VALUE"""),44000)</f>
        <v>44000</v>
      </c>
      <c r="R261" t="str">
        <f ca="1">IFERROR(__xludf.DUMMYFUNCTION("""COMPUTED_VALUE"""),"ХАРЬКОВ-СОРТ")</f>
        <v>ХАРЬКОВ-СОРТ</v>
      </c>
      <c r="S261" t="str">
        <f ca="1">IFERROR(__xludf.DUMMYFUNCTION("""COMPUTED_VALUE"""),"06.08.21 15-30")</f>
        <v>06.08.21 15-30</v>
      </c>
      <c r="T261">
        <f ca="1">IFERROR(__xludf.DUMMYFUNCTION("""COMPUTED_VALUE"""),1956)</f>
        <v>1956</v>
      </c>
      <c r="U261" t="str">
        <f ca="1">IFERROR(__xludf.DUMMYFUNCTION("""COMPUTED_VALUE"""),"22.07.2022 ДР")</f>
        <v>22.07.2022 ДР</v>
      </c>
      <c r="Z261" t="str">
        <f ca="1">IFERROR(__xludf.DUMMYFUNCTION("""COMPUTED_VALUE"""),"ООО ""АЗОВЕВРОТРАНС""")</f>
        <v>ООО "АЗОВЕВРОТРАНС"</v>
      </c>
      <c r="AA261" t="str">
        <f ca="1">IFERROR(__xludf.DUMMYFUNCTION("""COMPUTED_VALUE"""),"11-270")</f>
        <v>11-270</v>
      </c>
      <c r="AB261" t="str">
        <f ca="1">IFERROR(__xludf.DUMMYFUNCTION("""COMPUTED_VALUE"""),"32 Ю-ЗАП")</f>
        <v>32 Ю-ЗАП</v>
      </c>
      <c r="AC261" t="str">
        <f ca="1">IFERROR(__xludf.DUMMYFUNCTION("""COMPUTED_VALUE"""),"34350 ФАСТОВ I")</f>
        <v>34350 ФАСТОВ I</v>
      </c>
      <c r="AD261" t="str">
        <f ca="1">IFERROR(__xludf.DUMMYFUNCTION("""COMPUTED_VALUE"""),"19.07.21 11-00")</f>
        <v>19.07.21 11-00</v>
      </c>
      <c r="AE261" t="str">
        <f ca="1">IFERROR(__xludf.DUMMYFUNCTION("""COMPUTED_VALUE"""),"537 НEИCПPAВНOCТЬ ЗAПOPA ДВEPИ")</f>
        <v>537 НEИCПPAВНOCТЬ ЗAПOPA ДВEPИ</v>
      </c>
      <c r="AF261" t="str">
        <f ca="1">IFERROR(__xludf.DUMMYFUNCTION("""COMPUTED_VALUE"""),"32 Ю-ЗАП")</f>
        <v>32 Ю-ЗАП</v>
      </c>
      <c r="AG261" t="str">
        <f ca="1">IFERROR(__xludf.DUMMYFUNCTION("""COMPUTED_VALUE"""),"34350 ФАСТОВ I")</f>
        <v>34350 ФАСТОВ I</v>
      </c>
      <c r="AH261" t="str">
        <f ca="1">IFERROR(__xludf.DUMMYFUNCTION("""COMPUTED_VALUE"""),"19.07.21 16-00")</f>
        <v>19.07.21 16-00</v>
      </c>
      <c r="AI261" s="21">
        <f ca="1">IFERROR(__xludf.DUMMYFUNCTION("""COMPUTED_VALUE"""),44420.3576851851)</f>
        <v>44420.357685185103</v>
      </c>
    </row>
    <row r="262" spans="1:35" ht="13" x14ac:dyDescent="0.15">
      <c r="A262">
        <f ca="1">IFERROR(__xludf.DUMMYFUNCTION("""COMPUTED_VALUE"""),1405)</f>
        <v>1405</v>
      </c>
      <c r="B262" t="str">
        <f ca="1">IFERROR(__xludf.DUMMYFUNCTION("""COMPUTED_VALUE"""),"Илит")</f>
        <v>Илит</v>
      </c>
      <c r="C262" t="str">
        <f ca="1">IFERROR(__xludf.DUMMYFUNCTION("""COMPUTED_VALUE"""),"Илит")</f>
        <v>Илит</v>
      </c>
      <c r="D262">
        <f ca="1">IFERROR(__xludf.DUMMYFUNCTION("""COMPUTED_VALUE"""),52405073)</f>
        <v>52405073</v>
      </c>
      <c r="E262" t="str">
        <f ca="1">IFERROR(__xludf.DUMMYFUNCTION("""COMPUTED_VALUE"""),"20 КРЫТЫЕ")</f>
        <v>20 КРЫТЫЕ</v>
      </c>
      <c r="F262">
        <f ca="1">IFERROR(__xludf.DUMMYFUNCTION("""COMPUTED_VALUE"""),42103)</f>
        <v>42103</v>
      </c>
      <c r="G262" t="str">
        <f ca="1">IFERROR(__xludf.DUMMYFUNCTION("""COMPUTED_VALUE"""),"ВАГОНЫ ЖД СВ")</f>
        <v>ВАГОНЫ ЖД СВ</v>
      </c>
      <c r="H262">
        <f ca="1">IFERROR(__xludf.DUMMYFUNCTION("""COMPUTED_VALUE"""),0)</f>
        <v>0</v>
      </c>
      <c r="I262">
        <f ca="1">IFERROR(__xludf.DUMMYFUNCTION("""COMPUTED_VALUE"""),3430)</f>
        <v>3430</v>
      </c>
      <c r="J262" t="str">
        <f ca="1">IFERROR(__xludf.DUMMYFUNCTION("""COMPUTED_VALUE"""),"5555 (32000-600-00080) ДАРНИЦА -")</f>
        <v>5555 (32000-600-00080) ДАРНИЦА -</v>
      </c>
      <c r="K262">
        <f ca="1">IFERROR(__xludf.DUMMYFUNCTION("""COMPUTED_VALUE"""),32000)</f>
        <v>32000</v>
      </c>
      <c r="L262" t="str">
        <f ca="1">IFERROR(__xludf.DUMMYFUNCTION("""COMPUTED_VALUE"""),"ДАРНИЦА")</f>
        <v>ДАРНИЦА</v>
      </c>
      <c r="M262" t="str">
        <f ca="1">IFERROR(__xludf.DUMMYFUNCTION("""COMPUTED_VALUE"""),"12.08.21 03-37")</f>
        <v>12.08.21 03-37</v>
      </c>
      <c r="N262" t="str">
        <f ca="1">IFERROR(__xludf.DUMMYFUNCTION("""COMPUTED_VALUE"""),"05 ФОРМ")</f>
        <v>05 ФОРМ</v>
      </c>
      <c r="O262">
        <f ca="1">IFERROR(__xludf.DUMMYFUNCTION("""COMPUTED_VALUE"""),34350)</f>
        <v>34350</v>
      </c>
      <c r="P262" t="str">
        <f ca="1">IFERROR(__xludf.DUMMYFUNCTION("""COMPUTED_VALUE"""),"ФАСТОВ I")</f>
        <v>ФАСТОВ I</v>
      </c>
      <c r="Q262">
        <f ca="1">IFERROR(__xludf.DUMMYFUNCTION("""COMPUTED_VALUE"""),32040)</f>
        <v>32040</v>
      </c>
      <c r="R262" t="str">
        <f ca="1">IFERROR(__xludf.DUMMYFUNCTION("""COMPUTED_VALUE"""),"ГРУШКИ")</f>
        <v>ГРУШКИ</v>
      </c>
      <c r="S262" t="str">
        <f ca="1">IFERROR(__xludf.DUMMYFUNCTION("""COMPUTED_VALUE"""),"04.08.21 18-20")</f>
        <v>04.08.21 18-20</v>
      </c>
      <c r="T262">
        <f ca="1">IFERROR(__xludf.DUMMYFUNCTION("""COMPUTED_VALUE"""),1956)</f>
        <v>1956</v>
      </c>
      <c r="U262" t="str">
        <f ca="1">IFERROR(__xludf.DUMMYFUNCTION("""COMPUTED_VALUE"""),"05.08.2022 ДР")</f>
        <v>05.08.2022 ДР</v>
      </c>
      <c r="Z262" t="str">
        <f ca="1">IFERROR(__xludf.DUMMYFUNCTION("""COMPUTED_VALUE"""),"ООО ""АЗОВЕВРОТРАНС""")</f>
        <v>ООО "АЗОВЕВРОТРАНС"</v>
      </c>
      <c r="AA262" t="str">
        <f ca="1">IFERROR(__xludf.DUMMYFUNCTION("""COMPUTED_VALUE"""),"11-270")</f>
        <v>11-270</v>
      </c>
      <c r="AB262" t="str">
        <f ca="1">IFERROR(__xludf.DUMMYFUNCTION("""COMPUTED_VALUE"""),"48 ДОН")</f>
        <v>48 ДОН</v>
      </c>
      <c r="AC262" t="str">
        <f ca="1">IFERROR(__xludf.DUMMYFUNCTION("""COMPUTED_VALUE"""),"49200 СЛАВЯНСК")</f>
        <v>49200 СЛАВЯНСК</v>
      </c>
      <c r="AD262" t="str">
        <f ca="1">IFERROR(__xludf.DUMMYFUNCTION("""COMPUTED_VALUE"""),"16.07.19 01-22")</f>
        <v>16.07.19 01-22</v>
      </c>
      <c r="AE262" t="str">
        <f ca="1">IFERROR(__xludf.DUMMYFUNCTION("""COMPUTED_VALUE"""),"571 ИCТEК КAЛЕНДАРНЫЙ CPOК КAПИТAЛЬНОГО PEМOНТA")</f>
        <v>571 ИCТEК КAЛЕНДАРНЫЙ CPOК КAПИТAЛЬНОГО PEМOНТA</v>
      </c>
      <c r="AF262" t="str">
        <f ca="1">IFERROR(__xludf.DUMMYFUNCTION("""COMPUTED_VALUE"""),"48 ДОН")</f>
        <v>48 ДОН</v>
      </c>
      <c r="AG262" t="str">
        <f ca="1">IFERROR(__xludf.DUMMYFUNCTION("""COMPUTED_VALUE"""),"49200 СЛАВЯНСК")</f>
        <v>49200 СЛАВЯНСК</v>
      </c>
      <c r="AH262" t="str">
        <f ca="1">IFERROR(__xludf.DUMMYFUNCTION("""COMPUTED_VALUE"""),"05.08.19 16-00")</f>
        <v>05.08.19 16-00</v>
      </c>
      <c r="AI262" s="21">
        <f ca="1">IFERROR(__xludf.DUMMYFUNCTION("""COMPUTED_VALUE"""),44420.3576851851)</f>
        <v>44420.357685185103</v>
      </c>
    </row>
    <row r="263" spans="1:35" ht="13" x14ac:dyDescent="0.15">
      <c r="A263">
        <f ca="1">IFERROR(__xludf.DUMMYFUNCTION("""COMPUTED_VALUE"""),1406)</f>
        <v>1406</v>
      </c>
      <c r="B263" t="str">
        <f ca="1">IFERROR(__xludf.DUMMYFUNCTION("""COMPUTED_VALUE"""),"Илит")</f>
        <v>Илит</v>
      </c>
      <c r="C263" t="str">
        <f ca="1">IFERROR(__xludf.DUMMYFUNCTION("""COMPUTED_VALUE"""),"Илит")</f>
        <v>Илит</v>
      </c>
      <c r="D263">
        <f ca="1">IFERROR(__xludf.DUMMYFUNCTION("""COMPUTED_VALUE"""),52405057)</f>
        <v>52405057</v>
      </c>
      <c r="E263" t="str">
        <f ca="1">IFERROR(__xludf.DUMMYFUNCTION("""COMPUTED_VALUE"""),"20 КРЫТЫЕ")</f>
        <v>20 КРЫТЫЕ</v>
      </c>
      <c r="F263">
        <f ca="1">IFERROR(__xludf.DUMMYFUNCTION("""COMPUTED_VALUE"""),53103)</f>
        <v>53103</v>
      </c>
      <c r="G263" t="str">
        <f ca="1">IFERROR(__xludf.DUMMYFUNCTION("""COMPUTED_VALUE"""),"СОЛЬ ПИЩ МОЛОТ")</f>
        <v>СОЛЬ ПИЩ МОЛОТ</v>
      </c>
      <c r="H263">
        <f ca="1">IFERROR(__xludf.DUMMYFUNCTION("""COMPUTED_VALUE"""),68)</f>
        <v>68</v>
      </c>
      <c r="I263">
        <f ca="1">IFERROR(__xludf.DUMMYFUNCTION("""COMPUTED_VALUE"""),1915)</f>
        <v>1915</v>
      </c>
      <c r="J263" t="str">
        <f ca="1">IFERROR(__xludf.DUMMYFUNCTION("""COMPUTED_VALUE"""),"2819 (34270-221-35000) КАЗАТИН I - ЗДОЛБУНОВ")</f>
        <v>2819 (34270-221-35000) КАЗАТИН I - ЗДОЛБУНОВ</v>
      </c>
      <c r="K263">
        <f ca="1">IFERROR(__xludf.DUMMYFUNCTION("""COMPUTED_VALUE"""),35000)</f>
        <v>35000</v>
      </c>
      <c r="L263" t="str">
        <f ca="1">IFERROR(__xludf.DUMMYFUNCTION("""COMPUTED_VALUE"""),"ЗДОЛБУНОВ")</f>
        <v>ЗДОЛБУНОВ</v>
      </c>
      <c r="M263" t="str">
        <f ca="1">IFERROR(__xludf.DUMMYFUNCTION("""COMPUTED_VALUE"""),"11.08.21 22-22")</f>
        <v>11.08.21 22-22</v>
      </c>
      <c r="N263" t="str">
        <f ca="1">IFERROR(__xludf.DUMMYFUNCTION("""COMPUTED_VALUE"""),"11 ПРМ")</f>
        <v>11 ПРМ</v>
      </c>
      <c r="O263">
        <f ca="1">IFERROR(__xludf.DUMMYFUNCTION("""COMPUTED_VALUE"""),35660)</f>
        <v>35660</v>
      </c>
      <c r="P263" t="str">
        <f ca="1">IFERROR(__xludf.DUMMYFUNCTION("""COMPUTED_VALUE"""),"РОВНО")</f>
        <v>РОВНО</v>
      </c>
      <c r="Q263">
        <f ca="1">IFERROR(__xludf.DUMMYFUNCTION("""COMPUTED_VALUE"""),49480)</f>
        <v>49480</v>
      </c>
      <c r="R263" t="str">
        <f ca="1">IFERROR(__xludf.DUMMYFUNCTION("""COMPUTED_VALUE"""),"СОЛЬ")</f>
        <v>СОЛЬ</v>
      </c>
      <c r="S263" t="str">
        <f ca="1">IFERROR(__xludf.DUMMYFUNCTION("""COMPUTED_VALUE"""),"06.08.21 16-50")</f>
        <v>06.08.21 16-50</v>
      </c>
      <c r="T263">
        <f ca="1">IFERROR(__xludf.DUMMYFUNCTION("""COMPUTED_VALUE"""),4714)</f>
        <v>4714</v>
      </c>
      <c r="U263" t="str">
        <f ca="1">IFERROR(__xludf.DUMMYFUNCTION("""COMPUTED_VALUE"""),"12.06.2023 ДР")</f>
        <v>12.06.2023 ДР</v>
      </c>
      <c r="Z263" t="str">
        <f ca="1">IFERROR(__xludf.DUMMYFUNCTION("""COMPUTED_VALUE"""),"ООО «БОРВИЙТРАНС»")</f>
        <v>ООО «БОРВИЙТРАНС»</v>
      </c>
      <c r="AA263" t="str">
        <f ca="1">IFERROR(__xludf.DUMMYFUNCTION("""COMPUTED_VALUE"""),"11-217")</f>
        <v>11-217</v>
      </c>
      <c r="AB263" t="str">
        <f ca="1">IFERROR(__xludf.DUMMYFUNCTION("""COMPUTED_VALUE"""),"43 ЮЖН")</f>
        <v>43 ЮЖН</v>
      </c>
      <c r="AC263" t="str">
        <f ca="1">IFERROR(__xludf.DUMMYFUNCTION("""COMPUTED_VALUE"""),"44020 ОСНОВА")</f>
        <v>44020 ОСНОВА</v>
      </c>
      <c r="AD263" t="str">
        <f ca="1">IFERROR(__xludf.DUMMYFUNCTION("""COMPUTED_VALUE"""),"31.07.21 06-20")</f>
        <v>31.07.21 06-20</v>
      </c>
      <c r="AE263" t="str">
        <f ca="1">IFERROR(__xludf.DUMMYFUNCTION("""COMPUTED_VALUE"""),"537 НEИCПPAВНOCТЬ ЗAПOPA ДВEPИ")</f>
        <v>537 НEИCПPAВНOCТЬ ЗAПOPA ДВEPИ</v>
      </c>
      <c r="AF263" t="str">
        <f ca="1">IFERROR(__xludf.DUMMYFUNCTION("""COMPUTED_VALUE"""),"43 ЮЖН")</f>
        <v>43 ЮЖН</v>
      </c>
      <c r="AG263" t="str">
        <f ca="1">IFERROR(__xludf.DUMMYFUNCTION("""COMPUTED_VALUE"""),"44020 ОСНОВА")</f>
        <v>44020 ОСНОВА</v>
      </c>
      <c r="AH263" t="str">
        <f ca="1">IFERROR(__xludf.DUMMYFUNCTION("""COMPUTED_VALUE"""),"02.08.21 17-10")</f>
        <v>02.08.21 17-10</v>
      </c>
      <c r="AI263" s="21">
        <f ca="1">IFERROR(__xludf.DUMMYFUNCTION("""COMPUTED_VALUE"""),44420.3576851851)</f>
        <v>44420.357685185103</v>
      </c>
    </row>
    <row r="264" spans="1:35" ht="13" x14ac:dyDescent="0.15">
      <c r="A264">
        <f ca="1">IFERROR(__xludf.DUMMYFUNCTION("""COMPUTED_VALUE"""),1407)</f>
        <v>1407</v>
      </c>
      <c r="B264" t="str">
        <f ca="1">IFERROR(__xludf.DUMMYFUNCTION("""COMPUTED_VALUE"""),"Илит")</f>
        <v>Илит</v>
      </c>
      <c r="C264" t="str">
        <f ca="1">IFERROR(__xludf.DUMMYFUNCTION("""COMPUTED_VALUE"""),"Илит")</f>
        <v>Илит</v>
      </c>
      <c r="D264">
        <f ca="1">IFERROR(__xludf.DUMMYFUNCTION("""COMPUTED_VALUE"""),24201568)</f>
        <v>24201568</v>
      </c>
      <c r="E264" t="str">
        <f ca="1">IFERROR(__xludf.DUMMYFUNCTION("""COMPUTED_VALUE"""),"20 КРЫТЫЕ")</f>
        <v>20 КРЫТЫЕ</v>
      </c>
      <c r="F264">
        <f ca="1">IFERROR(__xludf.DUMMYFUNCTION("""COMPUTED_VALUE"""),42103)</f>
        <v>42103</v>
      </c>
      <c r="G264" t="str">
        <f ca="1">IFERROR(__xludf.DUMMYFUNCTION("""COMPUTED_VALUE"""),"ВАГОНЫ ЖД СВ")</f>
        <v>ВАГОНЫ ЖД СВ</v>
      </c>
      <c r="H264">
        <f ca="1">IFERROR(__xludf.DUMMYFUNCTION("""COMPUTED_VALUE"""),0)</f>
        <v>0</v>
      </c>
      <c r="I264">
        <f ca="1">IFERROR(__xludf.DUMMYFUNCTION("""COMPUTED_VALUE"""),8199)</f>
        <v>8199</v>
      </c>
      <c r="J264" t="str">
        <f ca="1">IFERROR(__xludf.DUMMYFUNCTION("""COMPUTED_VALUE"""),"2835 (35000-010-37040) ЗДОЛБУНОВ - КЛЕПАРОВ")</f>
        <v>2835 (35000-010-37040) ЗДОЛБУНОВ - КЛЕПАРОВ</v>
      </c>
      <c r="K264">
        <f ca="1">IFERROR(__xludf.DUMMYFUNCTION("""COMPUTED_VALUE"""),37040)</f>
        <v>37040</v>
      </c>
      <c r="L264" t="str">
        <f ca="1">IFERROR(__xludf.DUMMYFUNCTION("""COMPUTED_VALUE"""),"КЛЕПАРОВ")</f>
        <v>КЛЕПАРОВ</v>
      </c>
      <c r="M264" t="str">
        <f ca="1">IFERROR(__xludf.DUMMYFUNCTION("""COMPUTED_VALUE"""),"11.08.21 22-23")</f>
        <v>11.08.21 22-23</v>
      </c>
      <c r="N264" t="str">
        <f ca="1">IFERROR(__xludf.DUMMYFUNCTION("""COMPUTED_VALUE"""),"04 РАСФ")</f>
        <v>04 РАСФ</v>
      </c>
      <c r="O264">
        <f ca="1">IFERROR(__xludf.DUMMYFUNCTION("""COMPUTED_VALUE"""),38830)</f>
        <v>38830</v>
      </c>
      <c r="P264" t="str">
        <f ca="1">IFERROR(__xludf.DUMMYFUNCTION("""COMPUTED_VALUE"""),"ЯМНИЦА")</f>
        <v>ЯМНИЦА</v>
      </c>
      <c r="Q264">
        <f ca="1">IFERROR(__xludf.DUMMYFUNCTION("""COMPUTED_VALUE"""),35660)</f>
        <v>35660</v>
      </c>
      <c r="R264" t="str">
        <f ca="1">IFERROR(__xludf.DUMMYFUNCTION("""COMPUTED_VALUE"""),"РОВНО")</f>
        <v>РОВНО</v>
      </c>
      <c r="S264" t="str">
        <f ca="1">IFERROR(__xludf.DUMMYFUNCTION("""COMPUTED_VALUE"""),"07.08.21 15-00")</f>
        <v>07.08.21 15-00</v>
      </c>
      <c r="T264">
        <f ca="1">IFERROR(__xludf.DUMMYFUNCTION("""COMPUTED_VALUE"""),1956)</f>
        <v>1956</v>
      </c>
      <c r="U264" t="str">
        <f ca="1">IFERROR(__xludf.DUMMYFUNCTION("""COMPUTED_VALUE"""),"28.11.2023 ДР")</f>
        <v>28.11.2023 ДР</v>
      </c>
      <c r="Z264" t="str">
        <f ca="1">IFERROR(__xludf.DUMMYFUNCTION("""COMPUTED_VALUE"""),"ООО «ТЕГРА ЛОДЖИСТИКС»")</f>
        <v>ООО «ТЕГРА ЛОДЖИСТИКС»</v>
      </c>
      <c r="AA264" t="str">
        <f ca="1">IFERROR(__xludf.DUMMYFUNCTION("""COMPUTED_VALUE"""),"11-217")</f>
        <v>11-217</v>
      </c>
      <c r="AB264" t="str">
        <f ca="1">IFERROR(__xludf.DUMMYFUNCTION("""COMPUTED_VALUE"""),"43 ЮЖН")</f>
        <v>43 ЮЖН</v>
      </c>
      <c r="AC264" t="str">
        <f ca="1">IFERROR(__xludf.DUMMYFUNCTION("""COMPUTED_VALUE"""),"44020 ОСНОВА")</f>
        <v>44020 ОСНОВА</v>
      </c>
      <c r="AD264" t="str">
        <f ca="1">IFERROR(__xludf.DUMMYFUNCTION("""COMPUTED_VALUE"""),"20.03.21 11-20")</f>
        <v>20.03.21 11-20</v>
      </c>
      <c r="AE264" t="str">
        <f ca="1">IFERROR(__xludf.DUMMYFUNCTION("""COMPUTED_VALUE"""),"537 НEИCПPAВНOCТЬ ЗAПOPA ДВEPИ")</f>
        <v>537 НEИCПPAВНOCТЬ ЗAПOPA ДВEPИ</v>
      </c>
      <c r="AF264" t="str">
        <f ca="1">IFERROR(__xludf.DUMMYFUNCTION("""COMPUTED_VALUE"""),"43 ЮЖН")</f>
        <v>43 ЮЖН</v>
      </c>
      <c r="AG264" t="str">
        <f ca="1">IFERROR(__xludf.DUMMYFUNCTION("""COMPUTED_VALUE"""),"44020 ОСНОВА")</f>
        <v>44020 ОСНОВА</v>
      </c>
      <c r="AH264" t="str">
        <f ca="1">IFERROR(__xludf.DUMMYFUNCTION("""COMPUTED_VALUE"""),"25.03.21 17-10")</f>
        <v>25.03.21 17-10</v>
      </c>
      <c r="AI264" s="21">
        <f ca="1">IFERROR(__xludf.DUMMYFUNCTION("""COMPUTED_VALUE"""),44420.3576851851)</f>
        <v>44420.357685185103</v>
      </c>
    </row>
    <row r="265" spans="1:35" ht="13" x14ac:dyDescent="0.15">
      <c r="A265">
        <f ca="1">IFERROR(__xludf.DUMMYFUNCTION("""COMPUTED_VALUE"""),1408)</f>
        <v>1408</v>
      </c>
      <c r="B265" t="str">
        <f ca="1">IFERROR(__xludf.DUMMYFUNCTION("""COMPUTED_VALUE"""),"Илит")</f>
        <v>Илит</v>
      </c>
      <c r="C265" t="str">
        <f ca="1">IFERROR(__xludf.DUMMYFUNCTION("""COMPUTED_VALUE"""),"Илит")</f>
        <v>Илит</v>
      </c>
      <c r="D265">
        <f ca="1">IFERROR(__xludf.DUMMYFUNCTION("""COMPUTED_VALUE"""),24392136)</f>
        <v>24392136</v>
      </c>
      <c r="E265" t="str">
        <f ca="1">IFERROR(__xludf.DUMMYFUNCTION("""COMPUTED_VALUE"""),"20 КРЫТЫЕ")</f>
        <v>20 КРЫТЫЕ</v>
      </c>
      <c r="F265">
        <f ca="1">IFERROR(__xludf.DUMMYFUNCTION("""COMPUTED_VALUE"""),42103)</f>
        <v>42103</v>
      </c>
      <c r="G265" t="str">
        <f ca="1">IFERROR(__xludf.DUMMYFUNCTION("""COMPUTED_VALUE"""),"ВАГОНЫ ЖД СВ")</f>
        <v>ВАГОНЫ ЖД СВ</v>
      </c>
      <c r="H265">
        <f ca="1">IFERROR(__xludf.DUMMYFUNCTION("""COMPUTED_VALUE"""),0)</f>
        <v>0</v>
      </c>
      <c r="I265">
        <f ca="1">IFERROR(__xludf.DUMMYFUNCTION("""COMPUTED_VALUE"""),8199)</f>
        <v>8199</v>
      </c>
      <c r="J265" t="str">
        <f ca="1">IFERROR(__xludf.DUMMYFUNCTION("""COMPUTED_VALUE"""),"2835 (35000-010-37040) ЗДОЛБУНОВ - КЛЕПАРОВ")</f>
        <v>2835 (35000-010-37040) ЗДОЛБУНОВ - КЛЕПАРОВ</v>
      </c>
      <c r="K265">
        <f ca="1">IFERROR(__xludf.DUMMYFUNCTION("""COMPUTED_VALUE"""),37040)</f>
        <v>37040</v>
      </c>
      <c r="L265" t="str">
        <f ca="1">IFERROR(__xludf.DUMMYFUNCTION("""COMPUTED_VALUE"""),"КЛЕПАРОВ")</f>
        <v>КЛЕПАРОВ</v>
      </c>
      <c r="M265" t="str">
        <f ca="1">IFERROR(__xludf.DUMMYFUNCTION("""COMPUTED_VALUE"""),"11.08.21 22-23")</f>
        <v>11.08.21 22-23</v>
      </c>
      <c r="N265" t="str">
        <f ca="1">IFERROR(__xludf.DUMMYFUNCTION("""COMPUTED_VALUE"""),"04 РАСФ")</f>
        <v>04 РАСФ</v>
      </c>
      <c r="O265">
        <f ca="1">IFERROR(__xludf.DUMMYFUNCTION("""COMPUTED_VALUE"""),38830)</f>
        <v>38830</v>
      </c>
      <c r="P265" t="str">
        <f ca="1">IFERROR(__xludf.DUMMYFUNCTION("""COMPUTED_VALUE"""),"ЯМНИЦА")</f>
        <v>ЯМНИЦА</v>
      </c>
      <c r="Q265">
        <f ca="1">IFERROR(__xludf.DUMMYFUNCTION("""COMPUTED_VALUE"""),35660)</f>
        <v>35660</v>
      </c>
      <c r="R265" t="str">
        <f ca="1">IFERROR(__xludf.DUMMYFUNCTION("""COMPUTED_VALUE"""),"РОВНО")</f>
        <v>РОВНО</v>
      </c>
      <c r="S265" t="str">
        <f ca="1">IFERROR(__xludf.DUMMYFUNCTION("""COMPUTED_VALUE"""),"07.08.21 15-00")</f>
        <v>07.08.21 15-00</v>
      </c>
      <c r="T265">
        <f ca="1">IFERROR(__xludf.DUMMYFUNCTION("""COMPUTED_VALUE"""),1956)</f>
        <v>1956</v>
      </c>
      <c r="U265" t="str">
        <f ca="1">IFERROR(__xludf.DUMMYFUNCTION("""COMPUTED_VALUE"""),"12.01.2023 ДР")</f>
        <v>12.01.2023 ДР</v>
      </c>
      <c r="Z265" t="str">
        <f ca="1">IFERROR(__xludf.DUMMYFUNCTION("""COMPUTED_VALUE"""),"ООО ""Globe Trans""")</f>
        <v>ООО "Globe Trans"</v>
      </c>
      <c r="AA265" t="str">
        <f ca="1">IFERROR(__xludf.DUMMYFUNCTION("""COMPUTED_VALUE"""),"11-217")</f>
        <v>11-217</v>
      </c>
      <c r="AB265" t="str">
        <f ca="1">IFERROR(__xludf.DUMMYFUNCTION("""COMPUTED_VALUE"""),"32 Ю-ЗАП")</f>
        <v>32 Ю-ЗАП</v>
      </c>
      <c r="AC265" t="str">
        <f ca="1">IFERROR(__xludf.DUMMYFUNCTION("""COMPUTED_VALUE"""),"34270 КАЗАТИН I")</f>
        <v>34270 КАЗАТИН I</v>
      </c>
      <c r="AD265" t="str">
        <f ca="1">IFERROR(__xludf.DUMMYFUNCTION("""COMPUTED_VALUE"""),"05.12.20 14-54")</f>
        <v>05.12.20 14-54</v>
      </c>
      <c r="AE265" t="str">
        <f ca="1">IFERROR(__xludf.DUMMYFUNCTION("""COMPUTED_VALUE"""),"447 PAЗPEГУЛИPOВАНИЕ PЫЧAЖНOЙ ПEPEДAЧИ")</f>
        <v>447 PAЗPEГУЛИPOВАНИЕ PЫЧAЖНOЙ ПEPEДAЧИ</v>
      </c>
      <c r="AF265" t="str">
        <f ca="1">IFERROR(__xludf.DUMMYFUNCTION("""COMPUTED_VALUE"""),"32 Ю-ЗАП")</f>
        <v>32 Ю-ЗАП</v>
      </c>
      <c r="AG265" t="str">
        <f ca="1">IFERROR(__xludf.DUMMYFUNCTION("""COMPUTED_VALUE"""),"34270 КАЗАТИН I")</f>
        <v>34270 КАЗАТИН I</v>
      </c>
      <c r="AH265" t="str">
        <f ca="1">IFERROR(__xludf.DUMMYFUNCTION("""COMPUTED_VALUE"""),"09.12.20 14-00")</f>
        <v>09.12.20 14-00</v>
      </c>
      <c r="AI265" s="21">
        <f ca="1">IFERROR(__xludf.DUMMYFUNCTION("""COMPUTED_VALUE"""),44420.3576851851)</f>
        <v>44420.357685185103</v>
      </c>
    </row>
    <row r="266" spans="1:35" ht="13" x14ac:dyDescent="0.15">
      <c r="A266">
        <f ca="1">IFERROR(__xludf.DUMMYFUNCTION("""COMPUTED_VALUE"""),1409)</f>
        <v>1409</v>
      </c>
      <c r="B266" t="str">
        <f ca="1">IFERROR(__xludf.DUMMYFUNCTION("""COMPUTED_VALUE"""),"Илит")</f>
        <v>Илит</v>
      </c>
      <c r="C266" t="str">
        <f ca="1">IFERROR(__xludf.DUMMYFUNCTION("""COMPUTED_VALUE"""),"Илит")</f>
        <v>Илит</v>
      </c>
      <c r="D266">
        <f ca="1">IFERROR(__xludf.DUMMYFUNCTION("""COMPUTED_VALUE"""),24017378)</f>
        <v>24017378</v>
      </c>
      <c r="E266" t="str">
        <f ca="1">IFERROR(__xludf.DUMMYFUNCTION("""COMPUTED_VALUE"""),"20 КРЫТЫЕ")</f>
        <v>20 КРЫТЫЕ</v>
      </c>
      <c r="F266">
        <f ca="1">IFERROR(__xludf.DUMMYFUNCTION("""COMPUTED_VALUE"""),23304)</f>
        <v>23304</v>
      </c>
      <c r="G266" t="str">
        <f ca="1">IFERROR(__xludf.DUMMYFUNCTION("""COMPUTED_VALUE"""),"ГИПС ПР")</f>
        <v>ГИПС ПР</v>
      </c>
      <c r="H266">
        <f ca="1">IFERROR(__xludf.DUMMYFUNCTION("""COMPUTED_VALUE"""),65)</f>
        <v>65</v>
      </c>
      <c r="I266">
        <f ca="1">IFERROR(__xludf.DUMMYFUNCTION("""COMPUTED_VALUE"""),3314)</f>
        <v>3314</v>
      </c>
      <c r="J266" t="str">
        <f ca="1">IFERROR(__xludf.DUMMYFUNCTION("""COMPUTED_VALUE"""),"5555 (32000-611-00010) ДАРНИЦА -")</f>
        <v>5555 (32000-611-00010) ДАРНИЦА -</v>
      </c>
      <c r="K266">
        <f ca="1">IFERROR(__xludf.DUMMYFUNCTION("""COMPUTED_VALUE"""),32000)</f>
        <v>32000</v>
      </c>
      <c r="L266" t="str">
        <f ca="1">IFERROR(__xludf.DUMMYFUNCTION("""COMPUTED_VALUE"""),"ДАРНИЦА")</f>
        <v>ДАРНИЦА</v>
      </c>
      <c r="M266" t="str">
        <f ca="1">IFERROR(__xludf.DUMMYFUNCTION("""COMPUTED_VALUE"""),"12.08.21 06-06")</f>
        <v>12.08.21 06-06</v>
      </c>
      <c r="N266" t="str">
        <f ca="1">IFERROR(__xludf.DUMMYFUNCTION("""COMPUTED_VALUE"""),"04 РАСФ")</f>
        <v>04 РАСФ</v>
      </c>
      <c r="O266">
        <f ca="1">IFERROR(__xludf.DUMMYFUNCTION("""COMPUTED_VALUE"""),32040)</f>
        <v>32040</v>
      </c>
      <c r="P266" t="str">
        <f ca="1">IFERROR(__xludf.DUMMYFUNCTION("""COMPUTED_VALUE"""),"ГРУШКИ")</f>
        <v>ГРУШКИ</v>
      </c>
      <c r="Q266">
        <f ca="1">IFERROR(__xludf.DUMMYFUNCTION("""COMPUTED_VALUE"""),49620)</f>
        <v>49620</v>
      </c>
      <c r="R266" t="str">
        <f ca="1">IFERROR(__xludf.DUMMYFUNCTION("""COMPUTED_VALUE"""),"ДЕКОНСКАЯ")</f>
        <v>ДЕКОНСКАЯ</v>
      </c>
      <c r="S266" t="str">
        <f ca="1">IFERROR(__xludf.DUMMYFUNCTION("""COMPUTED_VALUE"""),"06.08.21 09-00")</f>
        <v>06.08.21 09-00</v>
      </c>
      <c r="T266">
        <f ca="1">IFERROR(__xludf.DUMMYFUNCTION("""COMPUTED_VALUE"""),4149)</f>
        <v>4149</v>
      </c>
      <c r="U266" t="str">
        <f ca="1">IFERROR(__xludf.DUMMYFUNCTION("""COMPUTED_VALUE"""),"12.01.2023 ДР")</f>
        <v>12.01.2023 ДР</v>
      </c>
      <c r="Z266" t="str">
        <f ca="1">IFERROR(__xludf.DUMMYFUNCTION("""COMPUTED_VALUE"""),"ООО ""Globe Trans""")</f>
        <v>ООО "Globe Trans"</v>
      </c>
      <c r="AA266" t="str">
        <f ca="1">IFERROR(__xludf.DUMMYFUNCTION("""COMPUTED_VALUE"""),"11-217")</f>
        <v>11-217</v>
      </c>
      <c r="AB266" t="str">
        <f ca="1">IFERROR(__xludf.DUMMYFUNCTION("""COMPUTED_VALUE"""),"32 Ю-ЗАП")</f>
        <v>32 Ю-ЗАП</v>
      </c>
      <c r="AC266" t="str">
        <f ca="1">IFERROR(__xludf.DUMMYFUNCTION("""COMPUTED_VALUE"""),"34270 КАЗАТИН I")</f>
        <v>34270 КАЗАТИН I</v>
      </c>
      <c r="AD266" t="str">
        <f ca="1">IFERROR(__xludf.DUMMYFUNCTION("""COMPUTED_VALUE"""),"09.12.20 14-35")</f>
        <v>09.12.20 14-35</v>
      </c>
      <c r="AE266" t="str">
        <f ca="1">IFERROR(__xludf.DUMMYFUNCTION("""COMPUTED_VALUE"""),"447 PAЗPEГУЛИPOВАНИЕ PЫЧAЖНOЙ ПEPEДAЧИ")</f>
        <v>447 PAЗPEГУЛИPOВАНИЕ PЫЧAЖНOЙ ПEPEДAЧИ</v>
      </c>
      <c r="AF266" t="str">
        <f ca="1">IFERROR(__xludf.DUMMYFUNCTION("""COMPUTED_VALUE"""),"32 Ю-ЗАП")</f>
        <v>32 Ю-ЗАП</v>
      </c>
      <c r="AG266" t="str">
        <f ca="1">IFERROR(__xludf.DUMMYFUNCTION("""COMPUTED_VALUE"""),"34270 КАЗАТИН I")</f>
        <v>34270 КАЗАТИН I</v>
      </c>
      <c r="AH266" t="str">
        <f ca="1">IFERROR(__xludf.DUMMYFUNCTION("""COMPUTED_VALUE"""),"10.12.20 14-00")</f>
        <v>10.12.20 14-00</v>
      </c>
      <c r="AI266" s="21">
        <f ca="1">IFERROR(__xludf.DUMMYFUNCTION("""COMPUTED_VALUE"""),44420.3576851851)</f>
        <v>44420.357685185103</v>
      </c>
    </row>
    <row r="267" spans="1:35" ht="13" x14ac:dyDescent="0.15">
      <c r="A267">
        <f ca="1">IFERROR(__xludf.DUMMYFUNCTION("""COMPUTED_VALUE"""),1410)</f>
        <v>1410</v>
      </c>
      <c r="B267" t="str">
        <f ca="1">IFERROR(__xludf.DUMMYFUNCTION("""COMPUTED_VALUE"""),"Илит")</f>
        <v>Илит</v>
      </c>
      <c r="C267" t="str">
        <f ca="1">IFERROR(__xludf.DUMMYFUNCTION("""COMPUTED_VALUE"""),"Илит")</f>
        <v>Илит</v>
      </c>
      <c r="D267">
        <f ca="1">IFERROR(__xludf.DUMMYFUNCTION("""COMPUTED_VALUE"""),24335044)</f>
        <v>24335044</v>
      </c>
      <c r="E267" t="str">
        <f ca="1">IFERROR(__xludf.DUMMYFUNCTION("""COMPUTED_VALUE"""),"20 КРЫТЫЕ")</f>
        <v>20 КРЫТЫЕ</v>
      </c>
      <c r="F267">
        <f ca="1">IFERROR(__xludf.DUMMYFUNCTION("""COMPUTED_VALUE"""),42103)</f>
        <v>42103</v>
      </c>
      <c r="G267" t="str">
        <f ca="1">IFERROR(__xludf.DUMMYFUNCTION("""COMPUTED_VALUE"""),"ВАГОНЫ ЖД СВ")</f>
        <v>ВАГОНЫ ЖД СВ</v>
      </c>
      <c r="H267">
        <f ca="1">IFERROR(__xludf.DUMMYFUNCTION("""COMPUTED_VALUE"""),0)</f>
        <v>0</v>
      </c>
      <c r="I267">
        <f ca="1">IFERROR(__xludf.DUMMYFUNCTION("""COMPUTED_VALUE"""),4149)</f>
        <v>4149</v>
      </c>
      <c r="J267" t="str">
        <f ca="1">IFERROR(__xludf.DUMMYFUNCTION("""COMPUTED_VALUE"""),"3802 (49460-038-49640) БАХМУТ -")</f>
        <v>3802 (49460-038-49640) БАХМУТ -</v>
      </c>
      <c r="K267">
        <f ca="1">IFERROR(__xludf.DUMMYFUNCTION("""COMPUTED_VALUE"""),49620)</f>
        <v>49620</v>
      </c>
      <c r="L267" t="str">
        <f ca="1">IFERROR(__xludf.DUMMYFUNCTION("""COMPUTED_VALUE"""),"ДЕКОНСКАЯ")</f>
        <v>ДЕКОНСКАЯ</v>
      </c>
      <c r="M267" t="str">
        <f ca="1">IFERROR(__xludf.DUMMYFUNCTION("""COMPUTED_VALUE"""),"10.08.21 21-00")</f>
        <v>10.08.21 21-00</v>
      </c>
      <c r="N267" t="str">
        <f ca="1">IFERROR(__xludf.DUMMYFUNCTION("""COMPUTED_VALUE"""),"98 ОТОТ")</f>
        <v>98 ОТОТ</v>
      </c>
      <c r="O267">
        <f ca="1">IFERROR(__xludf.DUMMYFUNCTION("""COMPUTED_VALUE"""),49620)</f>
        <v>49620</v>
      </c>
      <c r="P267" t="str">
        <f ca="1">IFERROR(__xludf.DUMMYFUNCTION("""COMPUTED_VALUE"""),"ДЕКОНСКАЯ")</f>
        <v>ДЕКОНСКАЯ</v>
      </c>
      <c r="Q267">
        <f ca="1">IFERROR(__xludf.DUMMYFUNCTION("""COMPUTED_VALUE"""),32210)</f>
        <v>32210</v>
      </c>
      <c r="R267" t="str">
        <f ca="1">IFERROR(__xludf.DUMMYFUNCTION("""COMPUTED_VALUE"""),"БУЧА")</f>
        <v>БУЧА</v>
      </c>
      <c r="S267" t="str">
        <f ca="1">IFERROR(__xludf.DUMMYFUNCTION("""COMPUTED_VALUE"""),"03.08.21 15-30")</f>
        <v>03.08.21 15-30</v>
      </c>
      <c r="T267">
        <f ca="1">IFERROR(__xludf.DUMMYFUNCTION("""COMPUTED_VALUE"""),1956)</f>
        <v>1956</v>
      </c>
      <c r="U267" t="str">
        <f ca="1">IFERROR(__xludf.DUMMYFUNCTION("""COMPUTED_VALUE"""),"07.11.2022 ДР")</f>
        <v>07.11.2022 ДР</v>
      </c>
      <c r="AA267" t="str">
        <f ca="1">IFERROR(__xludf.DUMMYFUNCTION("""COMPUTED_VALUE"""),"11-217")</f>
        <v>11-217</v>
      </c>
      <c r="AB267" t="str">
        <f ca="1">IFERROR(__xludf.DUMMYFUNCTION("""COMPUTED_VALUE"""),"43 ЮЖН")</f>
        <v>43 ЮЖН</v>
      </c>
      <c r="AC267" t="str">
        <f ca="1">IFERROR(__xludf.DUMMYFUNCTION("""COMPUTED_VALUE"""),"44020 ОСНОВА")</f>
        <v>44020 ОСНОВА</v>
      </c>
      <c r="AD267" t="str">
        <f ca="1">IFERROR(__xludf.DUMMYFUNCTION("""COMPUTED_VALUE"""),"05.04.21 09-00")</f>
        <v>05.04.21 09-00</v>
      </c>
      <c r="AE267" t="str">
        <f ca="1">IFERROR(__xludf.DUMMYFUNCTION("""COMPUTED_VALUE"""),"537 НEИCПPAВНOCТЬ ЗAПOPA ДВEPИ")</f>
        <v>537 НEИCПPAВНOCТЬ ЗAПOPA ДВEPИ</v>
      </c>
      <c r="AF267" t="str">
        <f ca="1">IFERROR(__xludf.DUMMYFUNCTION("""COMPUTED_VALUE"""),"43 ЮЖН")</f>
        <v>43 ЮЖН</v>
      </c>
      <c r="AG267" t="str">
        <f ca="1">IFERROR(__xludf.DUMMYFUNCTION("""COMPUTED_VALUE"""),"44020 ОСНОВА")</f>
        <v>44020 ОСНОВА</v>
      </c>
      <c r="AH267" t="str">
        <f ca="1">IFERROR(__xludf.DUMMYFUNCTION("""COMPUTED_VALUE"""),"07.04.21 17-10")</f>
        <v>07.04.21 17-10</v>
      </c>
      <c r="AI267" s="21">
        <f ca="1">IFERROR(__xludf.DUMMYFUNCTION("""COMPUTED_VALUE"""),44420.3576851851)</f>
        <v>44420.357685185103</v>
      </c>
    </row>
    <row r="268" spans="1:35" ht="13" x14ac:dyDescent="0.15">
      <c r="A268">
        <f ca="1">IFERROR(__xludf.DUMMYFUNCTION("""COMPUTED_VALUE"""),1411)</f>
        <v>1411</v>
      </c>
      <c r="B268" t="str">
        <f ca="1">IFERROR(__xludf.DUMMYFUNCTION("""COMPUTED_VALUE"""),"Илит")</f>
        <v>Илит</v>
      </c>
      <c r="C268" t="str">
        <f ca="1">IFERROR(__xludf.DUMMYFUNCTION("""COMPUTED_VALUE"""),"Илит")</f>
        <v>Илит</v>
      </c>
      <c r="D268">
        <f ca="1">IFERROR(__xludf.DUMMYFUNCTION("""COMPUTED_VALUE"""),24383309)</f>
        <v>24383309</v>
      </c>
      <c r="E268" t="str">
        <f ca="1">IFERROR(__xludf.DUMMYFUNCTION("""COMPUTED_VALUE"""),"20 КРЫТЫЕ")</f>
        <v>20 КРЫТЫЕ</v>
      </c>
      <c r="F268">
        <f ca="1">IFERROR(__xludf.DUMMYFUNCTION("""COMPUTED_VALUE"""),30324)</f>
        <v>30324</v>
      </c>
      <c r="G268" t="str">
        <f ca="1">IFERROR(__xludf.DUMMYFUNCTION("""COMPUTED_VALUE"""),"ПОРОШОК МАГНЕЗ")</f>
        <v>ПОРОШОК МАГНЕЗ</v>
      </c>
      <c r="H268">
        <f ca="1">IFERROR(__xludf.DUMMYFUNCTION("""COMPUTED_VALUE"""),60)</f>
        <v>60</v>
      </c>
      <c r="I268">
        <f ca="1">IFERROR(__xludf.DUMMYFUNCTION("""COMPUTED_VALUE"""),6439)</f>
        <v>6439</v>
      </c>
      <c r="J268" t="str">
        <f ca="1">IFERROR(__xludf.DUMMYFUNCTION("""COMPUTED_VALUE"""),"3708 (45640-053-45060) ВЕРХОВЦЕВО - НИЖНЕДНЕПРОВ")</f>
        <v>3708 (45640-053-45060) ВЕРХОВЦЕВО - НИЖНЕДНЕПРОВ</v>
      </c>
      <c r="K268">
        <f ca="1">IFERROR(__xludf.DUMMYFUNCTION("""COMPUTED_VALUE"""),45060)</f>
        <v>45060</v>
      </c>
      <c r="L268" t="str">
        <f ca="1">IFERROR(__xludf.DUMMYFUNCTION("""COMPUTED_VALUE"""),"НИЖНЕДНЕПРОВ")</f>
        <v>НИЖНЕДНЕПРОВ</v>
      </c>
      <c r="M268" t="str">
        <f ca="1">IFERROR(__xludf.DUMMYFUNCTION("""COMPUTED_VALUE"""),"10.08.21 22-40")</f>
        <v>10.08.21 22-40</v>
      </c>
      <c r="N268" t="str">
        <f ca="1">IFERROR(__xludf.DUMMYFUNCTION("""COMPUTED_VALUE"""),"21 ВЫГ2")</f>
        <v>21 ВЫГ2</v>
      </c>
      <c r="O268">
        <f ca="1">IFERROR(__xludf.DUMMYFUNCTION("""COMPUTED_VALUE"""),45060)</f>
        <v>45060</v>
      </c>
      <c r="P268" t="str">
        <f ca="1">IFERROR(__xludf.DUMMYFUNCTION("""COMPUTED_VALUE"""),"НИЖНЕДНЕПРОВ")</f>
        <v>НИЖНЕДНЕПРОВ</v>
      </c>
      <c r="Q268">
        <f ca="1">IFERROR(__xludf.DUMMYFUNCTION("""COMPUTED_VALUE"""),38260)</f>
        <v>38260</v>
      </c>
      <c r="R268" t="str">
        <f ca="1">IFERROR(__xludf.DUMMYFUNCTION("""COMPUTED_VALUE"""),"БАТЕВО-Э МАВ")</f>
        <v>БАТЕВО-Э МАВ</v>
      </c>
      <c r="S268" t="str">
        <f ca="1">IFERROR(__xludf.DUMMYFUNCTION("""COMPUTED_VALUE"""),"02.08.21 17-55")</f>
        <v>02.08.21 17-55</v>
      </c>
      <c r="U268" t="str">
        <f ca="1">IFERROR(__xludf.DUMMYFUNCTION("""COMPUTED_VALUE"""),"09.11.2022 ДР")</f>
        <v>09.11.2022 ДР</v>
      </c>
      <c r="AA268" t="str">
        <f ca="1">IFERROR(__xludf.DUMMYFUNCTION("""COMPUTED_VALUE"""),"11-217")</f>
        <v>11-217</v>
      </c>
      <c r="AB268" t="str">
        <f ca="1">IFERROR(__xludf.DUMMYFUNCTION("""COMPUTED_VALUE"""),"35 ЛЬВ")</f>
        <v>35 ЛЬВ</v>
      </c>
      <c r="AC268" t="str">
        <f ca="1">IFERROR(__xludf.DUMMYFUNCTION("""COMPUTED_VALUE"""),"35250 ИЗОВ")</f>
        <v>35250 ИЗОВ</v>
      </c>
      <c r="AD268" t="str">
        <f ca="1">IFERROR(__xludf.DUMMYFUNCTION("""COMPUTED_VALUE"""),"25.01.21 03-51")</f>
        <v>25.01.21 03-51</v>
      </c>
      <c r="AE268" t="str">
        <f ca="1">IFERROR(__xludf.DUMMYFUNCTION("""COMPUTED_VALUE"""),"405 НEИCПPAВНOCТЬ КOНЦEВOГO КPAНA")</f>
        <v>405 НEИCПPAВНOCТЬ КOНЦEВOГO КPAНA</v>
      </c>
      <c r="AF268" t="str">
        <f ca="1">IFERROR(__xludf.DUMMYFUNCTION("""COMPUTED_VALUE"""),"35 ЛЬВ")</f>
        <v>35 ЛЬВ</v>
      </c>
      <c r="AG268" t="str">
        <f ca="1">IFERROR(__xludf.DUMMYFUNCTION("""COMPUTED_VALUE"""),"35250 ИЗОВ")</f>
        <v>35250 ИЗОВ</v>
      </c>
      <c r="AH268" t="str">
        <f ca="1">IFERROR(__xludf.DUMMYFUNCTION("""COMPUTED_VALUE"""),"27.01.21 12-00")</f>
        <v>27.01.21 12-00</v>
      </c>
      <c r="AI268" s="21">
        <f ca="1">IFERROR(__xludf.DUMMYFUNCTION("""COMPUTED_VALUE"""),44420.3576851851)</f>
        <v>44420.357685185103</v>
      </c>
    </row>
    <row r="269" spans="1:35" ht="13" x14ac:dyDescent="0.15">
      <c r="A269">
        <f ca="1">IFERROR(__xludf.DUMMYFUNCTION("""COMPUTED_VALUE"""),1412)</f>
        <v>1412</v>
      </c>
      <c r="B269" t="str">
        <f ca="1">IFERROR(__xludf.DUMMYFUNCTION("""COMPUTED_VALUE"""),"Илит")</f>
        <v>Илит</v>
      </c>
      <c r="C269" t="str">
        <f ca="1">IFERROR(__xludf.DUMMYFUNCTION("""COMPUTED_VALUE"""),"Илит")</f>
        <v>Илит</v>
      </c>
      <c r="D269">
        <f ca="1">IFERROR(__xludf.DUMMYFUNCTION("""COMPUTED_VALUE"""),52582475)</f>
        <v>52582475</v>
      </c>
      <c r="E269" t="str">
        <f ca="1">IFERROR(__xludf.DUMMYFUNCTION("""COMPUTED_VALUE"""),"20 КРЫТЫЕ")</f>
        <v>20 КРЫТЫЕ</v>
      </c>
      <c r="F269">
        <f ca="1">IFERROR(__xludf.DUMMYFUNCTION("""COMPUTED_VALUE"""),42103)</f>
        <v>42103</v>
      </c>
      <c r="G269" t="str">
        <f ca="1">IFERROR(__xludf.DUMMYFUNCTION("""COMPUTED_VALUE"""),"ВАГОНЫ ЖД СВ")</f>
        <v>ВАГОНЫ ЖД СВ</v>
      </c>
      <c r="H269">
        <f ca="1">IFERROR(__xludf.DUMMYFUNCTION("""COMPUTED_VALUE"""),0)</f>
        <v>0</v>
      </c>
      <c r="I269">
        <f ca="1">IFERROR(__xludf.DUMMYFUNCTION("""COMPUTED_VALUE"""),8199)</f>
        <v>8199</v>
      </c>
      <c r="J269" t="str">
        <f ca="1">IFERROR(__xludf.DUMMYFUNCTION("""COMPUTED_VALUE"""),"3801 (38470-070-38250) КОРОЛЕВО - БАТЕВО")</f>
        <v>3801 (38470-070-38250) КОРОЛЕВО - БАТЕВО</v>
      </c>
      <c r="K269">
        <f ca="1">IFERROR(__xludf.DUMMYFUNCTION("""COMPUTED_VALUE"""),38250)</f>
        <v>38250</v>
      </c>
      <c r="L269" t="str">
        <f ca="1">IFERROR(__xludf.DUMMYFUNCTION("""COMPUTED_VALUE"""),"БАТЕВО")</f>
        <v>БАТЕВО</v>
      </c>
      <c r="M269" t="str">
        <f ca="1">IFERROR(__xludf.DUMMYFUNCTION("""COMPUTED_VALUE"""),"12.08.21 05-38")</f>
        <v>12.08.21 05-38</v>
      </c>
      <c r="N269" t="str">
        <f ca="1">IFERROR(__xludf.DUMMYFUNCTION("""COMPUTED_VALUE"""),"04 РАСФ")</f>
        <v>04 РАСФ</v>
      </c>
      <c r="O269">
        <f ca="1">IFERROR(__xludf.DUMMYFUNCTION("""COMPUTED_VALUE"""),38830)</f>
        <v>38830</v>
      </c>
      <c r="P269" t="str">
        <f ca="1">IFERROR(__xludf.DUMMYFUNCTION("""COMPUTED_VALUE"""),"ЯМНИЦА")</f>
        <v>ЯМНИЦА</v>
      </c>
      <c r="Q269">
        <f ca="1">IFERROR(__xludf.DUMMYFUNCTION("""COMPUTED_VALUE"""),38440)</f>
        <v>38440</v>
      </c>
      <c r="R269" t="str">
        <f ca="1">IFERROR(__xludf.DUMMYFUNCTION("""COMPUTED_VALUE"""),"ВИНОГР-ЗАКАР")</f>
        <v>ВИНОГР-ЗАКАР</v>
      </c>
      <c r="S269" t="str">
        <f ca="1">IFERROR(__xludf.DUMMYFUNCTION("""COMPUTED_VALUE"""),"09.08.21 12-20")</f>
        <v>09.08.21 12-20</v>
      </c>
      <c r="T269">
        <f ca="1">IFERROR(__xludf.DUMMYFUNCTION("""COMPUTED_VALUE"""),1956)</f>
        <v>1956</v>
      </c>
      <c r="U269" t="str">
        <f ca="1">IFERROR(__xludf.DUMMYFUNCTION("""COMPUTED_VALUE"""),"31.08.2022 ДР")</f>
        <v>31.08.2022 ДР</v>
      </c>
      <c r="Z269" t="str">
        <f ca="1">IFERROR(__xludf.DUMMYFUNCTION("""COMPUTED_VALUE"""),"ООО ""АЗОВЕВРОТРАНС""")</f>
        <v>ООО "АЗОВЕВРОТРАНС"</v>
      </c>
      <c r="AA269" t="str">
        <f ca="1">IFERROR(__xludf.DUMMYFUNCTION("""COMPUTED_VALUE"""),"11-270")</f>
        <v>11-270</v>
      </c>
      <c r="AB269" t="str">
        <f ca="1">IFERROR(__xludf.DUMMYFUNCTION("""COMPUTED_VALUE"""),"48 ДОН")</f>
        <v>48 ДОН</v>
      </c>
      <c r="AC269" t="str">
        <f ca="1">IFERROR(__xludf.DUMMYFUNCTION("""COMPUTED_VALUE"""),"49480 СОЛЬ")</f>
        <v>49480 СОЛЬ</v>
      </c>
      <c r="AD269" t="str">
        <f ca="1">IFERROR(__xludf.DUMMYFUNCTION("""COMPUTED_VALUE"""),"27.02.21 16-15")</f>
        <v>27.02.21 16-15</v>
      </c>
      <c r="AE269" t="str">
        <f ca="1">IFERROR(__xludf.DUMMYFUNCTION("""COMPUTED_VALUE"""),"563")</f>
        <v>563</v>
      </c>
      <c r="AF269" t="str">
        <f ca="1">IFERROR(__xludf.DUMMYFUNCTION("""COMPUTED_VALUE"""),"48 ДОН")</f>
        <v>48 ДОН</v>
      </c>
      <c r="AG269" t="str">
        <f ca="1">IFERROR(__xludf.DUMMYFUNCTION("""COMPUTED_VALUE"""),"49480 СОЛЬ")</f>
        <v>49480 СОЛЬ</v>
      </c>
      <c r="AH269" t="str">
        <f ca="1">IFERROR(__xludf.DUMMYFUNCTION("""COMPUTED_VALUE"""),"28.02.21 16-00")</f>
        <v>28.02.21 16-00</v>
      </c>
      <c r="AI269" s="21">
        <f ca="1">IFERROR(__xludf.DUMMYFUNCTION("""COMPUTED_VALUE"""),44420.3576851851)</f>
        <v>44420.357685185103</v>
      </c>
    </row>
    <row r="270" spans="1:35" ht="13" x14ac:dyDescent="0.15">
      <c r="A270">
        <f ca="1">IFERROR(__xludf.DUMMYFUNCTION("""COMPUTED_VALUE"""),1413)</f>
        <v>1413</v>
      </c>
      <c r="B270" t="str">
        <f ca="1">IFERROR(__xludf.DUMMYFUNCTION("""COMPUTED_VALUE"""),"Илит")</f>
        <v>Илит</v>
      </c>
      <c r="C270" t="str">
        <f ca="1">IFERROR(__xludf.DUMMYFUNCTION("""COMPUTED_VALUE"""),"Илит")</f>
        <v>Илит</v>
      </c>
      <c r="D270">
        <f ca="1">IFERROR(__xludf.DUMMYFUNCTION("""COMPUTED_VALUE"""),24201311)</f>
        <v>24201311</v>
      </c>
      <c r="E270" t="str">
        <f ca="1">IFERROR(__xludf.DUMMYFUNCTION("""COMPUTED_VALUE"""),"20 КРЫТЫЕ")</f>
        <v>20 КРЫТЫЕ</v>
      </c>
      <c r="F270">
        <f ca="1">IFERROR(__xludf.DUMMYFUNCTION("""COMPUTED_VALUE"""),42103)</f>
        <v>42103</v>
      </c>
      <c r="G270" t="str">
        <f ca="1">IFERROR(__xludf.DUMMYFUNCTION("""COMPUTED_VALUE"""),"ВАГОНЫ ЖД СВ")</f>
        <v>ВАГОНЫ ЖД СВ</v>
      </c>
      <c r="H270">
        <f ca="1">IFERROR(__xludf.DUMMYFUNCTION("""COMPUTED_VALUE"""),68)</f>
        <v>68</v>
      </c>
      <c r="I270">
        <f ca="1">IFERROR(__xludf.DUMMYFUNCTION("""COMPUTED_VALUE"""),8199)</f>
        <v>8199</v>
      </c>
      <c r="J270" t="str">
        <f ca="1">IFERROR(__xludf.DUMMYFUNCTION("""COMPUTED_VALUE"""),"3608 (35660-315-35000) РОВНО - ЗДОЛБУНОВ")</f>
        <v>3608 (35660-315-35000) РОВНО - ЗДОЛБУНОВ</v>
      </c>
      <c r="K270">
        <f ca="1">IFERROR(__xludf.DUMMYFUNCTION("""COMPUTED_VALUE"""),35000)</f>
        <v>35000</v>
      </c>
      <c r="L270" t="str">
        <f ca="1">IFERROR(__xludf.DUMMYFUNCTION("""COMPUTED_VALUE"""),"ЗДОЛБУНОВ")</f>
        <v>ЗДОЛБУНОВ</v>
      </c>
      <c r="M270" t="str">
        <f ca="1">IFERROR(__xludf.DUMMYFUNCTION("""COMPUTED_VALUE"""),"11.08.21 19-25")</f>
        <v>11.08.21 19-25</v>
      </c>
      <c r="N270" t="str">
        <f ca="1">IFERROR(__xludf.DUMMYFUNCTION("""COMPUTED_VALUE"""),"01 ПРИБ")</f>
        <v>01 ПРИБ</v>
      </c>
      <c r="O270">
        <f ca="1">IFERROR(__xludf.DUMMYFUNCTION("""COMPUTED_VALUE"""),38830)</f>
        <v>38830</v>
      </c>
      <c r="P270" t="str">
        <f ca="1">IFERROR(__xludf.DUMMYFUNCTION("""COMPUTED_VALUE"""),"ЯМНИЦА")</f>
        <v>ЯМНИЦА</v>
      </c>
      <c r="Q270">
        <f ca="1">IFERROR(__xludf.DUMMYFUNCTION("""COMPUTED_VALUE"""),45060)</f>
        <v>45060</v>
      </c>
      <c r="R270" t="str">
        <f ca="1">IFERROR(__xludf.DUMMYFUNCTION("""COMPUTED_VALUE"""),"НИЖНЕДНЕПРОВ")</f>
        <v>НИЖНЕДНЕПРОВ</v>
      </c>
      <c r="S270" t="str">
        <f ca="1">IFERROR(__xludf.DUMMYFUNCTION("""COMPUTED_VALUE"""),"30.07.21 22-00")</f>
        <v>30.07.21 22-00</v>
      </c>
      <c r="T270">
        <f ca="1">IFERROR(__xludf.DUMMYFUNCTION("""COMPUTED_VALUE"""),0)</f>
        <v>0</v>
      </c>
      <c r="U270" t="str">
        <f ca="1">IFERROR(__xludf.DUMMYFUNCTION("""COMPUTED_VALUE"""),"28.11.2023 ДР")</f>
        <v>28.11.2023 ДР</v>
      </c>
      <c r="Z270" t="str">
        <f ca="1">IFERROR(__xludf.DUMMYFUNCTION("""COMPUTED_VALUE"""),"ООО «СТК «РОУД»")</f>
        <v>ООО «СТК «РОУД»</v>
      </c>
      <c r="AA270" t="str">
        <f ca="1">IFERROR(__xludf.DUMMYFUNCTION("""COMPUTED_VALUE"""),"11-217")</f>
        <v>11-217</v>
      </c>
      <c r="AB270" t="str">
        <f ca="1">IFERROR(__xludf.DUMMYFUNCTION("""COMPUTED_VALUE"""),"48 ДОН")</f>
        <v>48 ДОН</v>
      </c>
      <c r="AC270" t="str">
        <f ca="1">IFERROR(__xludf.DUMMYFUNCTION("""COMPUTED_VALUE"""),"48200 ПОКРОВСК")</f>
        <v>48200 ПОКРОВСК</v>
      </c>
      <c r="AD270" t="str">
        <f ca="1">IFERROR(__xludf.DUMMYFUNCTION("""COMPUTED_VALUE"""),"27.10.20 15-00")</f>
        <v>27.10.20 15-00</v>
      </c>
      <c r="AE270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0" t="str">
        <f ca="1">IFERROR(__xludf.DUMMYFUNCTION("""COMPUTED_VALUE"""),"48 ДОН")</f>
        <v>48 ДОН</v>
      </c>
      <c r="AG270" t="str">
        <f ca="1">IFERROR(__xludf.DUMMYFUNCTION("""COMPUTED_VALUE"""),"48200 ПОКРОВСК")</f>
        <v>48200 ПОКРОВСК</v>
      </c>
      <c r="AH270" t="str">
        <f ca="1">IFERROR(__xludf.DUMMYFUNCTION("""COMPUTED_VALUE"""),"28.11.20 16-00")</f>
        <v>28.11.20 16-00</v>
      </c>
      <c r="AI270" s="21">
        <f ca="1">IFERROR(__xludf.DUMMYFUNCTION("""COMPUTED_VALUE"""),44420.3576851851)</f>
        <v>44420.357685185103</v>
      </c>
    </row>
    <row r="271" spans="1:35" ht="13" x14ac:dyDescent="0.15">
      <c r="A271">
        <f ca="1">IFERROR(__xludf.DUMMYFUNCTION("""COMPUTED_VALUE"""),1414)</f>
        <v>1414</v>
      </c>
      <c r="B271" t="str">
        <f ca="1">IFERROR(__xludf.DUMMYFUNCTION("""COMPUTED_VALUE"""),"Илит")</f>
        <v>Илит</v>
      </c>
      <c r="C271" t="str">
        <f ca="1">IFERROR(__xludf.DUMMYFUNCTION("""COMPUTED_VALUE"""),"Илит")</f>
        <v>Илит</v>
      </c>
      <c r="D271">
        <f ca="1">IFERROR(__xludf.DUMMYFUNCTION("""COMPUTED_VALUE"""),24231052)</f>
        <v>24231052</v>
      </c>
      <c r="E271" t="str">
        <f ca="1">IFERROR(__xludf.DUMMYFUNCTION("""COMPUTED_VALUE"""),"20 КРЫТЫЕ")</f>
        <v>20 КРЫТЫЕ</v>
      </c>
      <c r="F271">
        <f ca="1">IFERROR(__xludf.DUMMYFUNCTION("""COMPUTED_VALUE"""),32411)</f>
        <v>32411</v>
      </c>
      <c r="G271" t="str">
        <f ca="1">IFERROR(__xludf.DUMMYFUNCTION("""COMPUTED_VALUE"""),"ПРОК ЧЕРМЕТ ПР")</f>
        <v>ПРОК ЧЕРМЕТ ПР</v>
      </c>
      <c r="H271">
        <f ca="1">IFERROR(__xludf.DUMMYFUNCTION("""COMPUTED_VALUE"""),68)</f>
        <v>68</v>
      </c>
      <c r="I271">
        <f ca="1">IFERROR(__xludf.DUMMYFUNCTION("""COMPUTED_VALUE"""),4126)</f>
        <v>4126</v>
      </c>
      <c r="J271" t="str">
        <f ca="1">IFERROR(__xludf.DUMMYFUNCTION("""COMPUTED_VALUE"""),"3733 (03540-040-03526) АВТОВО-ПЕРЕ -")</f>
        <v>3733 (03540-040-03526) АВТОВО-ПЕРЕ -</v>
      </c>
      <c r="K271">
        <f ca="1">IFERROR(__xludf.DUMMYFUNCTION("""COMPUTED_VALUE"""),35260)</f>
        <v>35260</v>
      </c>
      <c r="L271" t="str">
        <f ca="1">IFERROR(__xludf.DUMMYFUNCTION("""COMPUTED_VALUE"""),"ИЗОВ-Э-ПКП")</f>
        <v>ИЗОВ-Э-ПКП</v>
      </c>
      <c r="M271" t="str">
        <f ca="1">IFERROR(__xludf.DUMMYFUNCTION("""COMPUTED_VALUE"""),"10.08.21 22-04")</f>
        <v>10.08.21 22-04</v>
      </c>
      <c r="N271" t="str">
        <f ca="1">IFERROR(__xludf.DUMMYFUNCTION("""COMPUTED_VALUE"""),"23 СДЧ")</f>
        <v>23 СДЧ</v>
      </c>
      <c r="O271">
        <f ca="1">IFERROR(__xludf.DUMMYFUNCTION("""COMPUTED_VALUE"""),35260)</f>
        <v>35260</v>
      </c>
      <c r="P271" t="str">
        <f ca="1">IFERROR(__xludf.DUMMYFUNCTION("""COMPUTED_VALUE"""),"ИЗОВ-Э-ПКП")</f>
        <v>ИЗОВ-Э-ПКП</v>
      </c>
      <c r="Q271">
        <f ca="1">IFERROR(__xludf.DUMMYFUNCTION("""COMPUTED_VALUE"""),45060)</f>
        <v>45060</v>
      </c>
      <c r="R271" t="str">
        <f ca="1">IFERROR(__xludf.DUMMYFUNCTION("""COMPUTED_VALUE"""),"НИЖНЕДНЕПРОВ")</f>
        <v>НИЖНЕДНЕПРОВ</v>
      </c>
      <c r="S271" t="str">
        <f ca="1">IFERROR(__xludf.DUMMYFUNCTION("""COMPUTED_VALUE"""),"03.08.21 13-00")</f>
        <v>03.08.21 13-00</v>
      </c>
      <c r="T271">
        <f ca="1">IFERROR(__xludf.DUMMYFUNCTION("""COMPUTED_VALUE"""),3418)</f>
        <v>3418</v>
      </c>
      <c r="U271" t="str">
        <f ca="1">IFERROR(__xludf.DUMMYFUNCTION("""COMPUTED_VALUE"""),"21.12.2023 ДР")</f>
        <v>21.12.2023 ДР</v>
      </c>
      <c r="Z271" t="str">
        <f ca="1">IFERROR(__xludf.DUMMYFUNCTION("""COMPUTED_VALUE"""),"ООО «СТК «РОУД»")</f>
        <v>ООО «СТК «РОУД»</v>
      </c>
      <c r="AA271" t="str">
        <f ca="1">IFERROR(__xludf.DUMMYFUNCTION("""COMPUTED_VALUE"""),"11-217")</f>
        <v>11-217</v>
      </c>
      <c r="AB271" t="str">
        <f ca="1">IFERROR(__xludf.DUMMYFUNCTION("""COMPUTED_VALUE"""),"48 ДОН")</f>
        <v>48 ДОН</v>
      </c>
      <c r="AC271" t="str">
        <f ca="1">IFERROR(__xludf.DUMMYFUNCTION("""COMPUTED_VALUE"""),"48200 ПОКРОВСК")</f>
        <v>48200 ПОКРОВСК</v>
      </c>
      <c r="AD271" t="str">
        <f ca="1">IFERROR(__xludf.DUMMYFUNCTION("""COMPUTED_VALUE"""),"27.10.20 15-00")</f>
        <v>27.10.20 15-00</v>
      </c>
      <c r="AE271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1" t="str">
        <f ca="1">IFERROR(__xludf.DUMMYFUNCTION("""COMPUTED_VALUE"""),"48 ДОН")</f>
        <v>48 ДОН</v>
      </c>
      <c r="AG271" t="str">
        <f ca="1">IFERROR(__xludf.DUMMYFUNCTION("""COMPUTED_VALUE"""),"48200 ПОКРОВСК")</f>
        <v>48200 ПОКРОВСК</v>
      </c>
      <c r="AH271" t="str">
        <f ca="1">IFERROR(__xludf.DUMMYFUNCTION("""COMPUTED_VALUE"""),"21.12.20 16-00")</f>
        <v>21.12.20 16-00</v>
      </c>
      <c r="AI271" s="21">
        <f ca="1">IFERROR(__xludf.DUMMYFUNCTION("""COMPUTED_VALUE"""),44420.3576851851)</f>
        <v>44420.357685185103</v>
      </c>
    </row>
    <row r="272" spans="1:35" ht="13" x14ac:dyDescent="0.15">
      <c r="A272">
        <f ca="1">IFERROR(__xludf.DUMMYFUNCTION("""COMPUTED_VALUE"""),1415)</f>
        <v>1415</v>
      </c>
      <c r="B272" t="str">
        <f ca="1">IFERROR(__xludf.DUMMYFUNCTION("""COMPUTED_VALUE"""),"Илит")</f>
        <v>Илит</v>
      </c>
      <c r="C272" t="str">
        <f ca="1">IFERROR(__xludf.DUMMYFUNCTION("""COMPUTED_VALUE"""),"Илит")</f>
        <v>Илит</v>
      </c>
      <c r="D272">
        <f ca="1">IFERROR(__xludf.DUMMYFUNCTION("""COMPUTED_VALUE"""),24200602)</f>
        <v>24200602</v>
      </c>
      <c r="E272" t="str">
        <f ca="1">IFERROR(__xludf.DUMMYFUNCTION("""COMPUTED_VALUE"""),"20 КРЫТЫЕ")</f>
        <v>20 КРЫТЫЕ</v>
      </c>
      <c r="F272">
        <f ca="1">IFERROR(__xludf.DUMMYFUNCTION("""COMPUTED_VALUE"""),53103)</f>
        <v>53103</v>
      </c>
      <c r="G272" t="str">
        <f ca="1">IFERROR(__xludf.DUMMYFUNCTION("""COMPUTED_VALUE"""),"СОЛЬ ПИЩ МОЛОТ")</f>
        <v>СОЛЬ ПИЩ МОЛОТ</v>
      </c>
      <c r="H272">
        <f ca="1">IFERROR(__xludf.DUMMYFUNCTION("""COMPUTED_VALUE"""),68)</f>
        <v>68</v>
      </c>
      <c r="I272">
        <f ca="1">IFERROR(__xludf.DUMMYFUNCTION("""COMPUTED_VALUE"""),2246)</f>
        <v>2246</v>
      </c>
      <c r="J272" t="str">
        <f ca="1">IFERROR(__xludf.DUMMYFUNCTION("""COMPUTED_VALUE"""),"1111 (49480-020-49000) СОЛЬ - ЛИМАН")</f>
        <v>1111 (49480-020-49000) СОЛЬ - ЛИМАН</v>
      </c>
      <c r="K272">
        <f ca="1">IFERROR(__xludf.DUMMYFUNCTION("""COMPUTED_VALUE"""),49480)</f>
        <v>49480</v>
      </c>
      <c r="L272" t="str">
        <f ca="1">IFERROR(__xludf.DUMMYFUNCTION("""COMPUTED_VALUE"""),"СОЛЬ")</f>
        <v>СОЛЬ</v>
      </c>
      <c r="M272" t="str">
        <f ca="1">IFERROR(__xludf.DUMMYFUNCTION("""COMPUTED_VALUE"""),"12.08.21 05-25")</f>
        <v>12.08.21 05-25</v>
      </c>
      <c r="N272" t="str">
        <f ca="1">IFERROR(__xludf.DUMMYFUNCTION("""COMPUTED_VALUE"""),"05 ФОРМ")</f>
        <v>05 ФОРМ</v>
      </c>
      <c r="O272">
        <f ca="1">IFERROR(__xludf.DUMMYFUNCTION("""COMPUTED_VALUE"""),38840)</f>
        <v>38840</v>
      </c>
      <c r="P272" t="str">
        <f ca="1">IFERROR(__xludf.DUMMYFUNCTION("""COMPUTED_VALUE"""),"ИВАНО-ФРАНК")</f>
        <v>ИВАНО-ФРАНК</v>
      </c>
      <c r="Q272">
        <f ca="1">IFERROR(__xludf.DUMMYFUNCTION("""COMPUTED_VALUE"""),49470)</f>
        <v>49470</v>
      </c>
      <c r="R272" t="str">
        <f ca="1">IFERROR(__xludf.DUMMYFUNCTION("""COMPUTED_VALUE"""),"ШЕВЧЕНКО")</f>
        <v>ШЕВЧЕНКО</v>
      </c>
      <c r="S272" t="str">
        <f ca="1">IFERROR(__xludf.DUMMYFUNCTION("""COMPUTED_VALUE"""),"11.08.21 12-00")</f>
        <v>11.08.21 12-00</v>
      </c>
      <c r="T272">
        <f ca="1">IFERROR(__xludf.DUMMYFUNCTION("""COMPUTED_VALUE"""),4714)</f>
        <v>4714</v>
      </c>
      <c r="U272" t="str">
        <f ca="1">IFERROR(__xludf.DUMMYFUNCTION("""COMPUTED_VALUE"""),"29.11.2023 ДР")</f>
        <v>29.11.2023 ДР</v>
      </c>
      <c r="Z272" t="str">
        <f ca="1">IFERROR(__xludf.DUMMYFUNCTION("""COMPUTED_VALUE"""),"ООО «СТК «РОУД»")</f>
        <v>ООО «СТК «РОУД»</v>
      </c>
      <c r="AA272" t="str">
        <f ca="1">IFERROR(__xludf.DUMMYFUNCTION("""COMPUTED_VALUE"""),"11-217")</f>
        <v>11-217</v>
      </c>
      <c r="AB272" t="str">
        <f ca="1">IFERROR(__xludf.DUMMYFUNCTION("""COMPUTED_VALUE"""),"48 ДОН")</f>
        <v>48 ДОН</v>
      </c>
      <c r="AC272" t="str">
        <f ca="1">IFERROR(__xludf.DUMMYFUNCTION("""COMPUTED_VALUE"""),"48200 ПОКРОВСК")</f>
        <v>48200 ПОКРОВСК</v>
      </c>
      <c r="AD272" t="str">
        <f ca="1">IFERROR(__xludf.DUMMYFUNCTION("""COMPUTED_VALUE"""),"27.10.20 15-00")</f>
        <v>27.10.20 15-00</v>
      </c>
      <c r="AE272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2" t="str">
        <f ca="1">IFERROR(__xludf.DUMMYFUNCTION("""COMPUTED_VALUE"""),"48 ДОН")</f>
        <v>48 ДОН</v>
      </c>
      <c r="AG272" t="str">
        <f ca="1">IFERROR(__xludf.DUMMYFUNCTION("""COMPUTED_VALUE"""),"48200 ПОКРОВСК")</f>
        <v>48200 ПОКРОВСК</v>
      </c>
      <c r="AH272" t="str">
        <f ca="1">IFERROR(__xludf.DUMMYFUNCTION("""COMPUTED_VALUE"""),"29.11.20 16-00")</f>
        <v>29.11.20 16-00</v>
      </c>
      <c r="AI272" s="21">
        <f ca="1">IFERROR(__xludf.DUMMYFUNCTION("""COMPUTED_VALUE"""),44420.3576851851)</f>
        <v>44420.357685185103</v>
      </c>
    </row>
    <row r="273" spans="1:35" ht="13" x14ac:dyDescent="0.15">
      <c r="A273">
        <f ca="1">IFERROR(__xludf.DUMMYFUNCTION("""COMPUTED_VALUE"""),1416)</f>
        <v>1416</v>
      </c>
      <c r="B273" t="str">
        <f ca="1">IFERROR(__xludf.DUMMYFUNCTION("""COMPUTED_VALUE"""),"Илит")</f>
        <v>Илит</v>
      </c>
      <c r="C273" t="str">
        <f ca="1">IFERROR(__xludf.DUMMYFUNCTION("""COMPUTED_VALUE"""),"Илит")</f>
        <v>Илит</v>
      </c>
      <c r="D273">
        <f ca="1">IFERROR(__xludf.DUMMYFUNCTION("""COMPUTED_VALUE"""),24200826)</f>
        <v>24200826</v>
      </c>
      <c r="E273" t="str">
        <f ca="1">IFERROR(__xludf.DUMMYFUNCTION("""COMPUTED_VALUE"""),"20 КРЫТЫЕ")</f>
        <v>20 КРЫТЫЕ</v>
      </c>
      <c r="F273">
        <f ca="1">IFERROR(__xludf.DUMMYFUNCTION("""COMPUTED_VALUE"""),42103)</f>
        <v>42103</v>
      </c>
      <c r="G273" t="str">
        <f ca="1">IFERROR(__xludf.DUMMYFUNCTION("""COMPUTED_VALUE"""),"ВАГОНЫ ЖД СВ")</f>
        <v>ВАГОНЫ ЖД СВ</v>
      </c>
      <c r="H273">
        <f ca="1">IFERROR(__xludf.DUMMYFUNCTION("""COMPUTED_VALUE"""),0)</f>
        <v>0</v>
      </c>
      <c r="I273">
        <f ca="1">IFERROR(__xludf.DUMMYFUNCTION("""COMPUTED_VALUE"""),4149)</f>
        <v>4149</v>
      </c>
      <c r="J273" t="str">
        <f ca="1">IFERROR(__xludf.DUMMYFUNCTION("""COMPUTED_VALUE"""),"3802 (49640-064-49620)  - ДЕКОНСКАЯ")</f>
        <v>3802 (49640-064-49620)  - ДЕКОНСКАЯ</v>
      </c>
      <c r="K273">
        <f ca="1">IFERROR(__xludf.DUMMYFUNCTION("""COMPUTED_VALUE"""),49620)</f>
        <v>49620</v>
      </c>
      <c r="L273" t="str">
        <f ca="1">IFERROR(__xludf.DUMMYFUNCTION("""COMPUTED_VALUE"""),"ДЕКОНСКАЯ")</f>
        <v>ДЕКОНСКАЯ</v>
      </c>
      <c r="M273" t="str">
        <f ca="1">IFERROR(__xludf.DUMMYFUNCTION("""COMPUTED_VALUE"""),"08.08.21 11-00")</f>
        <v>08.08.21 11-00</v>
      </c>
      <c r="N273" t="str">
        <f ca="1">IFERROR(__xludf.DUMMYFUNCTION("""COMPUTED_VALUE"""),"98 ОТОТ")</f>
        <v>98 ОТОТ</v>
      </c>
      <c r="O273">
        <f ca="1">IFERROR(__xludf.DUMMYFUNCTION("""COMPUTED_VALUE"""),49620)</f>
        <v>49620</v>
      </c>
      <c r="P273" t="str">
        <f ca="1">IFERROR(__xludf.DUMMYFUNCTION("""COMPUTED_VALUE"""),"ДЕКОНСКАЯ")</f>
        <v>ДЕКОНСКАЯ</v>
      </c>
      <c r="Q273">
        <f ca="1">IFERROR(__xludf.DUMMYFUNCTION("""COMPUTED_VALUE"""),32060)</f>
        <v>32060</v>
      </c>
      <c r="R273" t="str">
        <f ca="1">IFERROR(__xludf.DUMMYFUNCTION("""COMPUTED_VALUE"""),"ПОЧАЙНА")</f>
        <v>ПОЧАЙНА</v>
      </c>
      <c r="S273" t="str">
        <f ca="1">IFERROR(__xludf.DUMMYFUNCTION("""COMPUTED_VALUE"""),"03.08.21 16-30")</f>
        <v>03.08.21 16-30</v>
      </c>
      <c r="T273">
        <f ca="1">IFERROR(__xludf.DUMMYFUNCTION("""COMPUTED_VALUE"""),1956)</f>
        <v>1956</v>
      </c>
      <c r="U273" t="str">
        <f ca="1">IFERROR(__xludf.DUMMYFUNCTION("""COMPUTED_VALUE"""),"19.12.2023 ДР")</f>
        <v>19.12.2023 ДР</v>
      </c>
      <c r="Z273" t="str">
        <f ca="1">IFERROR(__xludf.DUMMYFUNCTION("""COMPUTED_VALUE"""),"ООО «ДИРЕКТ ПРО»")</f>
        <v>ООО «ДИРЕКТ ПРО»</v>
      </c>
      <c r="AA273" t="str">
        <f ca="1">IFERROR(__xludf.DUMMYFUNCTION("""COMPUTED_VALUE"""),"11-217")</f>
        <v>11-217</v>
      </c>
      <c r="AB273" t="str">
        <f ca="1">IFERROR(__xludf.DUMMYFUNCTION("""COMPUTED_VALUE"""),"48 ДОН")</f>
        <v>48 ДОН</v>
      </c>
      <c r="AC273" t="str">
        <f ca="1">IFERROR(__xludf.DUMMYFUNCTION("""COMPUTED_VALUE"""),"48200 ПОКРОВСК")</f>
        <v>48200 ПОКРОВСК</v>
      </c>
      <c r="AD273" t="str">
        <f ca="1">IFERROR(__xludf.DUMMYFUNCTION("""COMPUTED_VALUE"""),"27.10.20 15-00")</f>
        <v>27.10.20 15-00</v>
      </c>
      <c r="AE273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3" t="str">
        <f ca="1">IFERROR(__xludf.DUMMYFUNCTION("""COMPUTED_VALUE"""),"48 ДОН")</f>
        <v>48 ДОН</v>
      </c>
      <c r="AG273" t="str">
        <f ca="1">IFERROR(__xludf.DUMMYFUNCTION("""COMPUTED_VALUE"""),"48200 ПОКРОВСК")</f>
        <v>48200 ПОКРОВСК</v>
      </c>
      <c r="AH273" t="str">
        <f ca="1">IFERROR(__xludf.DUMMYFUNCTION("""COMPUTED_VALUE"""),"19.12.20 16-00")</f>
        <v>19.12.20 16-00</v>
      </c>
      <c r="AI273" s="21">
        <f ca="1">IFERROR(__xludf.DUMMYFUNCTION("""COMPUTED_VALUE"""),44420.3576851851)</f>
        <v>44420.357685185103</v>
      </c>
    </row>
    <row r="274" spans="1:35" ht="13" x14ac:dyDescent="0.15">
      <c r="A274">
        <f ca="1">IFERROR(__xludf.DUMMYFUNCTION("""COMPUTED_VALUE"""),1417)</f>
        <v>1417</v>
      </c>
      <c r="B274" t="str">
        <f ca="1">IFERROR(__xludf.DUMMYFUNCTION("""COMPUTED_VALUE"""),"Илит")</f>
        <v>Илит</v>
      </c>
      <c r="C274" t="str">
        <f ca="1">IFERROR(__xludf.DUMMYFUNCTION("""COMPUTED_VALUE"""),"Илит")</f>
        <v>Илит</v>
      </c>
      <c r="D274">
        <f ca="1">IFERROR(__xludf.DUMMYFUNCTION("""COMPUTED_VALUE"""),24201071)</f>
        <v>24201071</v>
      </c>
      <c r="E274" t="str">
        <f ca="1">IFERROR(__xludf.DUMMYFUNCTION("""COMPUTED_VALUE"""),"20 КРЫТЫЕ")</f>
        <v>20 КРЫТЫЕ</v>
      </c>
      <c r="F274">
        <f ca="1">IFERROR(__xludf.DUMMYFUNCTION("""COMPUTED_VALUE"""),53103)</f>
        <v>53103</v>
      </c>
      <c r="G274" t="str">
        <f ca="1">IFERROR(__xludf.DUMMYFUNCTION("""COMPUTED_VALUE"""),"СОЛЬ ПИЩ МОЛОТ")</f>
        <v>СОЛЬ ПИЩ МОЛОТ</v>
      </c>
      <c r="H274">
        <f ca="1">IFERROR(__xludf.DUMMYFUNCTION("""COMPUTED_VALUE"""),68)</f>
        <v>68</v>
      </c>
      <c r="I274">
        <f ca="1">IFERROR(__xludf.DUMMYFUNCTION("""COMPUTED_VALUE"""),3560)</f>
        <v>3560</v>
      </c>
      <c r="J274" t="str">
        <f ca="1">IFERROR(__xludf.DUMMYFUNCTION("""COMPUTED_VALUE"""),"2330 (37040-309-38850) КЛЕПАРОВ - ХРЫПЛИН")</f>
        <v>2330 (37040-309-38850) КЛЕПАРОВ - ХРЫПЛИН</v>
      </c>
      <c r="K274">
        <f ca="1">IFERROR(__xludf.DUMMYFUNCTION("""COMPUTED_VALUE"""),38850)</f>
        <v>38850</v>
      </c>
      <c r="L274" t="str">
        <f ca="1">IFERROR(__xludf.DUMMYFUNCTION("""COMPUTED_VALUE"""),"ХРЫПЛИН")</f>
        <v>ХРЫПЛИН</v>
      </c>
      <c r="M274" t="str">
        <f ca="1">IFERROR(__xludf.DUMMYFUNCTION("""COMPUTED_VALUE"""),"12.08.21 05-31")</f>
        <v>12.08.21 05-31</v>
      </c>
      <c r="N274" t="str">
        <f ca="1">IFERROR(__xludf.DUMMYFUNCTION("""COMPUTED_VALUE"""),"04 РАСФ")</f>
        <v>04 РАСФ</v>
      </c>
      <c r="O274">
        <f ca="1">IFERROR(__xludf.DUMMYFUNCTION("""COMPUTED_VALUE"""),38840)</f>
        <v>38840</v>
      </c>
      <c r="P274" t="str">
        <f ca="1">IFERROR(__xludf.DUMMYFUNCTION("""COMPUTED_VALUE"""),"ИВАНО-ФРАНК")</f>
        <v>ИВАНО-ФРАНК</v>
      </c>
      <c r="Q274">
        <f ca="1">IFERROR(__xludf.DUMMYFUNCTION("""COMPUTED_VALUE"""),49470)</f>
        <v>49470</v>
      </c>
      <c r="R274" t="str">
        <f ca="1">IFERROR(__xludf.DUMMYFUNCTION("""COMPUTED_VALUE"""),"ШЕВЧЕНКО")</f>
        <v>ШЕВЧЕНКО</v>
      </c>
      <c r="S274" t="str">
        <f ca="1">IFERROR(__xludf.DUMMYFUNCTION("""COMPUTED_VALUE"""),"04.08.21 16-35")</f>
        <v>04.08.21 16-35</v>
      </c>
      <c r="T274">
        <f ca="1">IFERROR(__xludf.DUMMYFUNCTION("""COMPUTED_VALUE"""),4714)</f>
        <v>4714</v>
      </c>
      <c r="U274" t="str">
        <f ca="1">IFERROR(__xludf.DUMMYFUNCTION("""COMPUTED_VALUE"""),"18.12.2023 ДР")</f>
        <v>18.12.2023 ДР</v>
      </c>
      <c r="Z274" t="str">
        <f ca="1">IFERROR(__xludf.DUMMYFUNCTION("""COMPUTED_VALUE"""),"ООО «ДИРЕКТ ПРО»")</f>
        <v>ООО «ДИРЕКТ ПРО»</v>
      </c>
      <c r="AA274" t="str">
        <f ca="1">IFERROR(__xludf.DUMMYFUNCTION("""COMPUTED_VALUE"""),"11-217")</f>
        <v>11-217</v>
      </c>
      <c r="AB274" t="str">
        <f ca="1">IFERROR(__xludf.DUMMYFUNCTION("""COMPUTED_VALUE"""),"48 ДОН")</f>
        <v>48 ДОН</v>
      </c>
      <c r="AC274" t="str">
        <f ca="1">IFERROR(__xludf.DUMMYFUNCTION("""COMPUTED_VALUE"""),"48200 ПОКРОВСК")</f>
        <v>48200 ПОКРОВСК</v>
      </c>
      <c r="AD274" t="str">
        <f ca="1">IFERROR(__xludf.DUMMYFUNCTION("""COMPUTED_VALUE"""),"27.10.20 15-00")</f>
        <v>27.10.20 15-00</v>
      </c>
      <c r="AE274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4" t="str">
        <f ca="1">IFERROR(__xludf.DUMMYFUNCTION("""COMPUTED_VALUE"""),"48 ДОН")</f>
        <v>48 ДОН</v>
      </c>
      <c r="AG274" t="str">
        <f ca="1">IFERROR(__xludf.DUMMYFUNCTION("""COMPUTED_VALUE"""),"48200 ПОКРОВСК")</f>
        <v>48200 ПОКРОВСК</v>
      </c>
      <c r="AH274" t="str">
        <f ca="1">IFERROR(__xludf.DUMMYFUNCTION("""COMPUTED_VALUE"""),"18.12.20 16-00")</f>
        <v>18.12.20 16-00</v>
      </c>
      <c r="AI274" s="21">
        <f ca="1">IFERROR(__xludf.DUMMYFUNCTION("""COMPUTED_VALUE"""),44420.3576851851)</f>
        <v>44420.357685185103</v>
      </c>
    </row>
    <row r="275" spans="1:35" ht="13" x14ac:dyDescent="0.15">
      <c r="A275">
        <f ca="1">IFERROR(__xludf.DUMMYFUNCTION("""COMPUTED_VALUE"""),1418)</f>
        <v>1418</v>
      </c>
      <c r="B275" t="str">
        <f ca="1">IFERROR(__xludf.DUMMYFUNCTION("""COMPUTED_VALUE"""),"Илит")</f>
        <v>Илит</v>
      </c>
      <c r="C275" t="str">
        <f ca="1">IFERROR(__xludf.DUMMYFUNCTION("""COMPUTED_VALUE"""),"Илит")</f>
        <v>Илит</v>
      </c>
      <c r="D275">
        <f ca="1">IFERROR(__xludf.DUMMYFUNCTION("""COMPUTED_VALUE"""),52428471)</f>
        <v>52428471</v>
      </c>
      <c r="E275" t="str">
        <f ca="1">IFERROR(__xludf.DUMMYFUNCTION("""COMPUTED_VALUE"""),"20 КРЫТЫЕ")</f>
        <v>20 КРЫТЫЕ</v>
      </c>
      <c r="F275">
        <f ca="1">IFERROR(__xludf.DUMMYFUNCTION("""COMPUTED_VALUE"""),42103)</f>
        <v>42103</v>
      </c>
      <c r="G275" t="str">
        <f ca="1">IFERROR(__xludf.DUMMYFUNCTION("""COMPUTED_VALUE"""),"ВАГОНЫ ЖД СВ")</f>
        <v>ВАГОНЫ ЖД СВ</v>
      </c>
      <c r="H275">
        <f ca="1">IFERROR(__xludf.DUMMYFUNCTION("""COMPUTED_VALUE"""),68)</f>
        <v>68</v>
      </c>
      <c r="I275">
        <f ca="1">IFERROR(__xludf.DUMMYFUNCTION("""COMPUTED_VALUE"""),8199)</f>
        <v>8199</v>
      </c>
      <c r="J275" t="str">
        <f ca="1">IFERROR(__xludf.DUMMYFUNCTION("""COMPUTED_VALUE"""),"2835 (35000-010-37040) ЗДОЛБУНОВ - КЛЕПАРОВ")</f>
        <v>2835 (35000-010-37040) ЗДОЛБУНОВ - КЛЕПАРОВ</v>
      </c>
      <c r="K275">
        <f ca="1">IFERROR(__xludf.DUMMYFUNCTION("""COMPUTED_VALUE"""),37040)</f>
        <v>37040</v>
      </c>
      <c r="L275" t="str">
        <f ca="1">IFERROR(__xludf.DUMMYFUNCTION("""COMPUTED_VALUE"""),"КЛЕПАРОВ")</f>
        <v>КЛЕПАРОВ</v>
      </c>
      <c r="M275" t="str">
        <f ca="1">IFERROR(__xludf.DUMMYFUNCTION("""COMPUTED_VALUE"""),"11.08.21 22-23")</f>
        <v>11.08.21 22-23</v>
      </c>
      <c r="N275" t="str">
        <f ca="1">IFERROR(__xludf.DUMMYFUNCTION("""COMPUTED_VALUE"""),"04 РАСФ")</f>
        <v>04 РАСФ</v>
      </c>
      <c r="O275">
        <f ca="1">IFERROR(__xludf.DUMMYFUNCTION("""COMPUTED_VALUE"""),38830)</f>
        <v>38830</v>
      </c>
      <c r="P275" t="str">
        <f ca="1">IFERROR(__xludf.DUMMYFUNCTION("""COMPUTED_VALUE"""),"ЯМНИЦА")</f>
        <v>ЯМНИЦА</v>
      </c>
      <c r="Q275">
        <f ca="1">IFERROR(__xludf.DUMMYFUNCTION("""COMPUTED_VALUE"""),45060)</f>
        <v>45060</v>
      </c>
      <c r="R275" t="str">
        <f ca="1">IFERROR(__xludf.DUMMYFUNCTION("""COMPUTED_VALUE"""),"НИЖНЕДНЕПРОВ")</f>
        <v>НИЖНЕДНЕПРОВ</v>
      </c>
      <c r="S275" t="str">
        <f ca="1">IFERROR(__xludf.DUMMYFUNCTION("""COMPUTED_VALUE"""),"27.07.21 20-40")</f>
        <v>27.07.21 20-40</v>
      </c>
      <c r="T275">
        <f ca="1">IFERROR(__xludf.DUMMYFUNCTION("""COMPUTED_VALUE"""),0)</f>
        <v>0</v>
      </c>
      <c r="U275" t="str">
        <f ca="1">IFERROR(__xludf.DUMMYFUNCTION("""COMPUTED_VALUE"""),"19.07.2022 ДР")</f>
        <v>19.07.2022 ДР</v>
      </c>
      <c r="Z275" t="str">
        <f ca="1">IFERROR(__xludf.DUMMYFUNCTION("""COMPUTED_VALUE"""),"ООО ""АЗОВЕВРОТРАНС""")</f>
        <v>ООО "АЗОВЕВРОТРАНС"</v>
      </c>
      <c r="AA275" t="str">
        <f ca="1">IFERROR(__xludf.DUMMYFUNCTION("""COMPUTED_VALUE"""),"11-270")</f>
        <v>11-270</v>
      </c>
      <c r="AB275" t="str">
        <f ca="1">IFERROR(__xludf.DUMMYFUNCTION("""COMPUTED_VALUE"""),"48 ДОН")</f>
        <v>48 ДОН</v>
      </c>
      <c r="AC275" t="str">
        <f ca="1">IFERROR(__xludf.DUMMYFUNCTION("""COMPUTED_VALUE"""),"49200 СЛАВЯНСК")</f>
        <v>49200 СЛАВЯНСК</v>
      </c>
      <c r="AD275" t="str">
        <f ca="1">IFERROR(__xludf.DUMMYFUNCTION("""COMPUTED_VALUE"""),"16.07.19 01-24")</f>
        <v>16.07.19 01-24</v>
      </c>
      <c r="AE275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5" t="str">
        <f ca="1">IFERROR(__xludf.DUMMYFUNCTION("""COMPUTED_VALUE"""),"48 ДОН")</f>
        <v>48 ДОН</v>
      </c>
      <c r="AG275" t="str">
        <f ca="1">IFERROR(__xludf.DUMMYFUNCTION("""COMPUTED_VALUE"""),"49200 СЛАВЯНСК")</f>
        <v>49200 СЛАВЯНСК</v>
      </c>
      <c r="AH275" t="str">
        <f ca="1">IFERROR(__xludf.DUMMYFUNCTION("""COMPUTED_VALUE"""),"19.07.19 16-00")</f>
        <v>19.07.19 16-00</v>
      </c>
      <c r="AI275" s="21">
        <f ca="1">IFERROR(__xludf.DUMMYFUNCTION("""COMPUTED_VALUE"""),44420.3576851851)</f>
        <v>44420.357685185103</v>
      </c>
    </row>
    <row r="276" spans="1:35" ht="13" x14ac:dyDescent="0.15">
      <c r="A276">
        <f ca="1">IFERROR(__xludf.DUMMYFUNCTION("""COMPUTED_VALUE"""),1419)</f>
        <v>1419</v>
      </c>
      <c r="B276" t="str">
        <f ca="1">IFERROR(__xludf.DUMMYFUNCTION("""COMPUTED_VALUE"""),"Илит")</f>
        <v>Илит</v>
      </c>
      <c r="C276" t="str">
        <f ca="1">IFERROR(__xludf.DUMMYFUNCTION("""COMPUTED_VALUE"""),"Илит")</f>
        <v>Илит</v>
      </c>
      <c r="D276">
        <f ca="1">IFERROR(__xludf.DUMMYFUNCTION("""COMPUTED_VALUE"""),24346728)</f>
        <v>24346728</v>
      </c>
      <c r="E276" t="str">
        <f ca="1">IFERROR(__xludf.DUMMYFUNCTION("""COMPUTED_VALUE"""),"20 КРЫТЫЕ")</f>
        <v>20 КРЫТЫЕ</v>
      </c>
      <c r="F276">
        <f ca="1">IFERROR(__xludf.DUMMYFUNCTION("""COMPUTED_VALUE"""),42103)</f>
        <v>42103</v>
      </c>
      <c r="G276" t="str">
        <f ca="1">IFERROR(__xludf.DUMMYFUNCTION("""COMPUTED_VALUE"""),"ВАГОНЫ ЖД СВ")</f>
        <v>ВАГОНЫ ЖД СВ</v>
      </c>
      <c r="H276">
        <f ca="1">IFERROR(__xludf.DUMMYFUNCTION("""COMPUTED_VALUE"""),0)</f>
        <v>0</v>
      </c>
      <c r="I276">
        <f ca="1">IFERROR(__xludf.DUMMYFUNCTION("""COMPUTED_VALUE"""),4149)</f>
        <v>4149</v>
      </c>
      <c r="J276" t="str">
        <f ca="1">IFERROR(__xludf.DUMMYFUNCTION("""COMPUTED_VALUE"""),"3802 (49640-064-49620)  - ДЕКОНСКАЯ")</f>
        <v>3802 (49640-064-49620)  - ДЕКОНСКАЯ</v>
      </c>
      <c r="K276">
        <f ca="1">IFERROR(__xludf.DUMMYFUNCTION("""COMPUTED_VALUE"""),49620)</f>
        <v>49620</v>
      </c>
      <c r="L276" t="str">
        <f ca="1">IFERROR(__xludf.DUMMYFUNCTION("""COMPUTED_VALUE"""),"ДЕКОНСКАЯ")</f>
        <v>ДЕКОНСКАЯ</v>
      </c>
      <c r="M276" t="str">
        <f ca="1">IFERROR(__xludf.DUMMYFUNCTION("""COMPUTED_VALUE"""),"08.08.21 11-00")</f>
        <v>08.08.21 11-00</v>
      </c>
      <c r="N276" t="str">
        <f ca="1">IFERROR(__xludf.DUMMYFUNCTION("""COMPUTED_VALUE"""),"98 ОТОТ")</f>
        <v>98 ОТОТ</v>
      </c>
      <c r="O276">
        <f ca="1">IFERROR(__xludf.DUMMYFUNCTION("""COMPUTED_VALUE"""),49620)</f>
        <v>49620</v>
      </c>
      <c r="P276" t="str">
        <f ca="1">IFERROR(__xludf.DUMMYFUNCTION("""COMPUTED_VALUE"""),"ДЕКОНСКАЯ")</f>
        <v>ДЕКОНСКАЯ</v>
      </c>
      <c r="Q276">
        <f ca="1">IFERROR(__xludf.DUMMYFUNCTION("""COMPUTED_VALUE"""),32060)</f>
        <v>32060</v>
      </c>
      <c r="R276" t="str">
        <f ca="1">IFERROR(__xludf.DUMMYFUNCTION("""COMPUTED_VALUE"""),"ПОЧАЙНА")</f>
        <v>ПОЧАЙНА</v>
      </c>
      <c r="S276" t="str">
        <f ca="1">IFERROR(__xludf.DUMMYFUNCTION("""COMPUTED_VALUE"""),"03.08.21 16-30")</f>
        <v>03.08.21 16-30</v>
      </c>
      <c r="T276">
        <f ca="1">IFERROR(__xludf.DUMMYFUNCTION("""COMPUTED_VALUE"""),1956)</f>
        <v>1956</v>
      </c>
      <c r="U276" t="str">
        <f ca="1">IFERROR(__xludf.DUMMYFUNCTION("""COMPUTED_VALUE"""),"28.11.2023 ДР")</f>
        <v>28.11.2023 ДР</v>
      </c>
      <c r="Z276" t="str">
        <f ca="1">IFERROR(__xludf.DUMMYFUNCTION("""COMPUTED_VALUE"""),"ООО «СТК «РОУД»")</f>
        <v>ООО «СТК «РОУД»</v>
      </c>
      <c r="AA276" t="str">
        <f ca="1">IFERROR(__xludf.DUMMYFUNCTION("""COMPUTED_VALUE"""),"11-217")</f>
        <v>11-217</v>
      </c>
      <c r="AB276" t="str">
        <f ca="1">IFERROR(__xludf.DUMMYFUNCTION("""COMPUTED_VALUE"""),"48 ДОН")</f>
        <v>48 ДОН</v>
      </c>
      <c r="AC276" t="str">
        <f ca="1">IFERROR(__xludf.DUMMYFUNCTION("""COMPUTED_VALUE"""),"49000 ЛИМАН")</f>
        <v>49000 ЛИМАН</v>
      </c>
      <c r="AD276" t="str">
        <f ca="1">IFERROR(__xludf.DUMMYFUNCTION("""COMPUTED_VALUE"""),"27.05.21 17-56")</f>
        <v>27.05.21 17-56</v>
      </c>
      <c r="AE276" t="str">
        <f ca="1">IFERROR(__xludf.DUMMYFUNCTION("""COMPUTED_VALUE"""),"220 НECOOТВEТCТВИE ЗAЗОРОВ CКOЛЬЗУНA")</f>
        <v>220 НECOOТВEТCТВИE ЗAЗОРОВ CКOЛЬЗУНA</v>
      </c>
      <c r="AF276" t="str">
        <f ca="1">IFERROR(__xludf.DUMMYFUNCTION("""COMPUTED_VALUE"""),"48 ДОН")</f>
        <v>48 ДОН</v>
      </c>
      <c r="AG276" t="str">
        <f ca="1">IFERROR(__xludf.DUMMYFUNCTION("""COMPUTED_VALUE"""),"49000 ЛИМАН")</f>
        <v>49000 ЛИМАН</v>
      </c>
      <c r="AH276" t="str">
        <f ca="1">IFERROR(__xludf.DUMMYFUNCTION("""COMPUTED_VALUE"""),"02.06.21 17-00")</f>
        <v>02.06.21 17-00</v>
      </c>
      <c r="AI276" s="21">
        <f ca="1">IFERROR(__xludf.DUMMYFUNCTION("""COMPUTED_VALUE"""),44420.3576851851)</f>
        <v>44420.357685185103</v>
      </c>
    </row>
    <row r="277" spans="1:35" ht="13" x14ac:dyDescent="0.15">
      <c r="A277">
        <f ca="1">IFERROR(__xludf.DUMMYFUNCTION("""COMPUTED_VALUE"""),1612)</f>
        <v>1612</v>
      </c>
      <c r="B277" t="str">
        <f ca="1">IFERROR(__xludf.DUMMYFUNCTION("""COMPUTED_VALUE"""),"ВИК")</f>
        <v>ВИК</v>
      </c>
      <c r="C277" t="str">
        <f ca="1">IFERROR(__xludf.DUMMYFUNCTION("""COMPUTED_VALUE"""),"ВИК")</f>
        <v>ВИК</v>
      </c>
      <c r="D277">
        <f ca="1">IFERROR(__xludf.DUMMYFUNCTION("""COMPUTED_VALUE"""),24019630)</f>
        <v>24019630</v>
      </c>
      <c r="E277" t="str">
        <f ca="1">IFERROR(__xludf.DUMMYFUNCTION("""COMPUTED_VALUE"""),"20 КРЫТЫЕ")</f>
        <v>20 КРЫТЫЕ</v>
      </c>
      <c r="F277">
        <f ca="1">IFERROR(__xludf.DUMMYFUNCTION("""COMPUTED_VALUE"""),42103)</f>
        <v>42103</v>
      </c>
      <c r="G277" t="str">
        <f ca="1">IFERROR(__xludf.DUMMYFUNCTION("""COMPUTED_VALUE"""),"ВАГОНЫ ЖД СВ")</f>
        <v>ВАГОНЫ ЖД СВ</v>
      </c>
      <c r="H277">
        <f ca="1">IFERROR(__xludf.DUMMYFUNCTION("""COMPUTED_VALUE"""),0)</f>
        <v>0</v>
      </c>
      <c r="I277">
        <f ca="1">IFERROR(__xludf.DUMMYFUNCTION("""COMPUTED_VALUE"""),4149)</f>
        <v>4149</v>
      </c>
      <c r="J277" t="str">
        <f ca="1">IFERROR(__xludf.DUMMYFUNCTION("""COMPUTED_VALUE"""),"3802 (49640-066-49620)  - ДЕКОНСКАЯ")</f>
        <v>3802 (49640-066-49620)  - ДЕКОНСКАЯ</v>
      </c>
      <c r="K277">
        <f ca="1">IFERROR(__xludf.DUMMYFUNCTION("""COMPUTED_VALUE"""),49620)</f>
        <v>49620</v>
      </c>
      <c r="L277" t="str">
        <f ca="1">IFERROR(__xludf.DUMMYFUNCTION("""COMPUTED_VALUE"""),"ДЕКОНСКАЯ")</f>
        <v>ДЕКОНСКАЯ</v>
      </c>
      <c r="M277" t="str">
        <f ca="1">IFERROR(__xludf.DUMMYFUNCTION("""COMPUTED_VALUE"""),"09.08.21 12-10")</f>
        <v>09.08.21 12-10</v>
      </c>
      <c r="N277" t="str">
        <f ca="1">IFERROR(__xludf.DUMMYFUNCTION("""COMPUTED_VALUE"""),"98 ОТОТ")</f>
        <v>98 ОТОТ</v>
      </c>
      <c r="O277">
        <f ca="1">IFERROR(__xludf.DUMMYFUNCTION("""COMPUTED_VALUE"""),49620)</f>
        <v>49620</v>
      </c>
      <c r="P277" t="str">
        <f ca="1">IFERROR(__xludf.DUMMYFUNCTION("""COMPUTED_VALUE"""),"ДЕКОНСКАЯ")</f>
        <v>ДЕКОНСКАЯ</v>
      </c>
      <c r="Q277">
        <f ca="1">IFERROR(__xludf.DUMMYFUNCTION("""COMPUTED_VALUE"""),32040)</f>
        <v>32040</v>
      </c>
      <c r="R277" t="str">
        <f ca="1">IFERROR(__xludf.DUMMYFUNCTION("""COMPUTED_VALUE"""),"ГРУШКИ")</f>
        <v>ГРУШКИ</v>
      </c>
      <c r="S277" t="str">
        <f ca="1">IFERROR(__xludf.DUMMYFUNCTION("""COMPUTED_VALUE"""),"03.08.21 08-00")</f>
        <v>03.08.21 08-00</v>
      </c>
      <c r="T277">
        <f ca="1">IFERROR(__xludf.DUMMYFUNCTION("""COMPUTED_VALUE"""),4456)</f>
        <v>4456</v>
      </c>
      <c r="U277" t="str">
        <f ca="1">IFERROR(__xludf.DUMMYFUNCTION("""COMPUTED_VALUE"""),"25.06.2023 КР")</f>
        <v>25.06.2023 КР</v>
      </c>
      <c r="AA277" t="str">
        <f ca="1">IFERROR(__xludf.DUMMYFUNCTION("""COMPUTED_VALUE"""),"11-217")</f>
        <v>11-217</v>
      </c>
      <c r="AB277" t="str">
        <f ca="1">IFERROR(__xludf.DUMMYFUNCTION("""COMPUTED_VALUE"""),"43 ЮЖН")</f>
        <v>43 ЮЖН</v>
      </c>
      <c r="AC277" t="str">
        <f ca="1">IFERROR(__xludf.DUMMYFUNCTION("""COMPUTED_VALUE"""),"44020 ОСНОВА")</f>
        <v>44020 ОСНОВА</v>
      </c>
      <c r="AD277" t="str">
        <f ca="1">IFERROR(__xludf.DUMMYFUNCTION("""COMPUTED_VALUE"""),"01.06.21 06-45")</f>
        <v>01.06.21 06-45</v>
      </c>
      <c r="AE277" t="str">
        <f ca="1">IFERROR(__xludf.DUMMYFUNCTION("""COMPUTED_VALUE"""),"537 НEИCПPAВНOCТЬ ЗAПOPA ДВEPИ")</f>
        <v>537 НEИCПPAВНOCТЬ ЗAПOPA ДВEPИ</v>
      </c>
      <c r="AF277" t="str">
        <f ca="1">IFERROR(__xludf.DUMMYFUNCTION("""COMPUTED_VALUE"""),"43 ЮЖН")</f>
        <v>43 ЮЖН</v>
      </c>
      <c r="AG277" t="str">
        <f ca="1">IFERROR(__xludf.DUMMYFUNCTION("""COMPUTED_VALUE"""),"44020 ОСНОВА")</f>
        <v>44020 ОСНОВА</v>
      </c>
      <c r="AH277" t="str">
        <f ca="1">IFERROR(__xludf.DUMMYFUNCTION("""COMPUTED_VALUE"""),"03.06.21 17-15")</f>
        <v>03.06.21 17-15</v>
      </c>
      <c r="AI277" s="21">
        <f ca="1">IFERROR(__xludf.DUMMYFUNCTION("""COMPUTED_VALUE"""),44420.3576851851)</f>
        <v>44420.357685185103</v>
      </c>
    </row>
    <row r="278" spans="1:35" ht="13" x14ac:dyDescent="0.15">
      <c r="A278">
        <f ca="1">IFERROR(__xludf.DUMMYFUNCTION("""COMPUTED_VALUE"""),1613)</f>
        <v>1613</v>
      </c>
      <c r="B278" t="str">
        <f ca="1">IFERROR(__xludf.DUMMYFUNCTION("""COMPUTED_VALUE"""),"ВИК")</f>
        <v>ВИК</v>
      </c>
      <c r="C278" t="str">
        <f ca="1">IFERROR(__xludf.DUMMYFUNCTION("""COMPUTED_VALUE"""),"ВИК")</f>
        <v>ВИК</v>
      </c>
      <c r="D278">
        <f ca="1">IFERROR(__xludf.DUMMYFUNCTION("""COMPUTED_VALUE"""),24029621)</f>
        <v>24029621</v>
      </c>
      <c r="E278" t="str">
        <f ca="1">IFERROR(__xludf.DUMMYFUNCTION("""COMPUTED_VALUE"""),"20 КРЫТЫЕ")</f>
        <v>20 КРЫТЫЕ</v>
      </c>
      <c r="F278">
        <f ca="1">IFERROR(__xludf.DUMMYFUNCTION("""COMPUTED_VALUE"""),54222)</f>
        <v>54222</v>
      </c>
      <c r="G278" t="str">
        <f ca="1">IFERROR(__xludf.DUMMYFUNCTION("""COMPUTED_VALUE"""),"ШРОТ КОРМ ПР")</f>
        <v>ШРОТ КОРМ ПР</v>
      </c>
      <c r="H278">
        <f ca="1">IFERROR(__xludf.DUMMYFUNCTION("""COMPUTED_VALUE"""),67)</f>
        <v>67</v>
      </c>
      <c r="I278">
        <f ca="1">IFERROR(__xludf.DUMMYFUNCTION("""COMPUTED_VALUE"""),1930)</f>
        <v>1930</v>
      </c>
      <c r="K278">
        <f ca="1">IFERROR(__xludf.DUMMYFUNCTION("""COMPUTED_VALUE"""),35260)</f>
        <v>35260</v>
      </c>
      <c r="L278" t="str">
        <f ca="1">IFERROR(__xludf.DUMMYFUNCTION("""COMPUTED_VALUE"""),"ИЗОВ-Э-ПКП")</f>
        <v>ИЗОВ-Э-ПКП</v>
      </c>
      <c r="M278" t="str">
        <f ca="1">IFERROR(__xludf.DUMMYFUNCTION("""COMPUTED_VALUE"""),"30.06.21 14-58")</f>
        <v>30.06.21 14-58</v>
      </c>
      <c r="N278" t="str">
        <f ca="1">IFERROR(__xludf.DUMMYFUNCTION("""COMPUTED_VALUE"""),"65 РСФП")</f>
        <v>65 РСФП</v>
      </c>
      <c r="O278">
        <f ca="1">IFERROR(__xludf.DUMMYFUNCTION("""COMPUTED_VALUE"""),35260)</f>
        <v>35260</v>
      </c>
      <c r="P278" t="str">
        <f ca="1">IFERROR(__xludf.DUMMYFUNCTION("""COMPUTED_VALUE"""),"ИЗОВ-Э-ПКП")</f>
        <v>ИЗОВ-Э-ПКП</v>
      </c>
      <c r="Q278">
        <f ca="1">IFERROR(__xludf.DUMMYFUNCTION("""COMPUTED_VALUE"""),41220)</f>
        <v>41220</v>
      </c>
      <c r="R278" t="str">
        <f ca="1">IFERROR(__xludf.DUMMYFUNCTION("""COMPUTED_VALUE"""),"БАНДУРКА")</f>
        <v>БАНДУРКА</v>
      </c>
      <c r="S278" t="str">
        <f ca="1">IFERROR(__xludf.DUMMYFUNCTION("""COMPUTED_VALUE"""),"24.06.21 16-00")</f>
        <v>24.06.21 16-00</v>
      </c>
      <c r="T278">
        <f ca="1">IFERROR(__xludf.DUMMYFUNCTION("""COMPUTED_VALUE"""),4456)</f>
        <v>4456</v>
      </c>
      <c r="U278" t="str">
        <f ca="1">IFERROR(__xludf.DUMMYFUNCTION("""COMPUTED_VALUE"""),"12.04.2022 ДР")</f>
        <v>12.04.2022 ДР</v>
      </c>
      <c r="AA278" t="str">
        <f ca="1">IFERROR(__xludf.DUMMYFUNCTION("""COMPUTED_VALUE"""),"11-217")</f>
        <v>11-217</v>
      </c>
      <c r="AB278" t="str">
        <f ca="1">IFERROR(__xludf.DUMMYFUNCTION("""COMPUTED_VALUE"""),"48 ДОН")</f>
        <v>48 ДОН</v>
      </c>
      <c r="AC278" t="str">
        <f ca="1">IFERROR(__xludf.DUMMYFUNCTION("""COMPUTED_VALUE"""),"49000 ЛИМАН")</f>
        <v>49000 ЛИМАН</v>
      </c>
      <c r="AD278" t="str">
        <f ca="1">IFERROR(__xludf.DUMMYFUNCTION("""COMPUTED_VALUE"""),"19.02.21 22-30")</f>
        <v>19.02.21 22-30</v>
      </c>
      <c r="AE278" t="str">
        <f ca="1">IFERROR(__xludf.DUMMYFUNCTION("""COMPUTED_VALUE"""),"445 ЗAВAP БAШМAКA")</f>
        <v>445 ЗAВAP БAШМAКA</v>
      </c>
      <c r="AF278" t="str">
        <f ca="1">IFERROR(__xludf.DUMMYFUNCTION("""COMPUTED_VALUE"""),"48 ДОН")</f>
        <v>48 ДОН</v>
      </c>
      <c r="AG278" t="str">
        <f ca="1">IFERROR(__xludf.DUMMYFUNCTION("""COMPUTED_VALUE"""),"49000 ЛИМАН")</f>
        <v>49000 ЛИМАН</v>
      </c>
      <c r="AH278" t="str">
        <f ca="1">IFERROR(__xludf.DUMMYFUNCTION("""COMPUTED_VALUE"""),"26.02.21 17-00")</f>
        <v>26.02.21 17-00</v>
      </c>
      <c r="AI278" s="21">
        <f ca="1">IFERROR(__xludf.DUMMYFUNCTION("""COMPUTED_VALUE"""),44420.3576851851)</f>
        <v>44420.357685185103</v>
      </c>
    </row>
    <row r="279" spans="1:35" ht="13" x14ac:dyDescent="0.15">
      <c r="A279">
        <f ca="1">IFERROR(__xludf.DUMMYFUNCTION("""COMPUTED_VALUE"""),1614)</f>
        <v>1614</v>
      </c>
      <c r="B279" t="str">
        <f ca="1">IFERROR(__xludf.DUMMYFUNCTION("""COMPUTED_VALUE"""),"ВИК")</f>
        <v>ВИК</v>
      </c>
      <c r="C279" t="str">
        <f ca="1">IFERROR(__xludf.DUMMYFUNCTION("""COMPUTED_VALUE"""),"ВИК")</f>
        <v>ВИК</v>
      </c>
      <c r="D279">
        <f ca="1">IFERROR(__xludf.DUMMYFUNCTION("""COMPUTED_VALUE"""),24029704)</f>
        <v>24029704</v>
      </c>
      <c r="E279" t="str">
        <f ca="1">IFERROR(__xludf.DUMMYFUNCTION("""COMPUTED_VALUE"""),"20 КРЫТЫЕ")</f>
        <v>20 КРЫТЫЕ</v>
      </c>
      <c r="F279">
        <f ca="1">IFERROR(__xludf.DUMMYFUNCTION("""COMPUTED_VALUE"""),42103)</f>
        <v>42103</v>
      </c>
      <c r="G279" t="str">
        <f ca="1">IFERROR(__xludf.DUMMYFUNCTION("""COMPUTED_VALUE"""),"ВАГОНЫ ЖД СВ")</f>
        <v>ВАГОНЫ ЖД СВ</v>
      </c>
      <c r="H279">
        <f ca="1">IFERROR(__xludf.DUMMYFUNCTION("""COMPUTED_VALUE"""),0)</f>
        <v>0</v>
      </c>
      <c r="I279">
        <f ca="1">IFERROR(__xludf.DUMMYFUNCTION("""COMPUTED_VALUE"""),4026)</f>
        <v>4026</v>
      </c>
      <c r="J279" t="str">
        <f ca="1">IFERROR(__xludf.DUMMYFUNCTION("""COMPUTED_VALUE"""),"3514 (48620-079-48630) ВОЛНОВАХА - ВЕЛИКО-АНАД")</f>
        <v>3514 (48620-079-48630) ВОЛНОВАХА - ВЕЛИКО-АНАД</v>
      </c>
      <c r="K279">
        <f ca="1">IFERROR(__xludf.DUMMYFUNCTION("""COMPUTED_VALUE"""),48630)</f>
        <v>48630</v>
      </c>
      <c r="L279" t="str">
        <f ca="1">IFERROR(__xludf.DUMMYFUNCTION("""COMPUTED_VALUE"""),"ВЕЛИКО-АНАД")</f>
        <v>ВЕЛИКО-АНАД</v>
      </c>
      <c r="M279" t="str">
        <f ca="1">IFERROR(__xludf.DUMMYFUNCTION("""COMPUTED_VALUE"""),"07.08.21 11-30")</f>
        <v>07.08.21 11-30</v>
      </c>
      <c r="N279" t="str">
        <f ca="1">IFERROR(__xludf.DUMMYFUNCTION("""COMPUTED_VALUE"""),"98 ОТОТ")</f>
        <v>98 ОТОТ</v>
      </c>
      <c r="O279">
        <f ca="1">IFERROR(__xludf.DUMMYFUNCTION("""COMPUTED_VALUE"""),48630)</f>
        <v>48630</v>
      </c>
      <c r="P279" t="str">
        <f ca="1">IFERROR(__xludf.DUMMYFUNCTION("""COMPUTED_VALUE"""),"ВЕЛИКО-АНАД")</f>
        <v>ВЕЛИКО-АНАД</v>
      </c>
      <c r="Q279">
        <f ca="1">IFERROR(__xludf.DUMMYFUNCTION("""COMPUTED_VALUE"""),35780)</f>
        <v>35780</v>
      </c>
      <c r="R279" t="str">
        <f ca="1">IFERROR(__xludf.DUMMYFUNCTION("""COMPUTED_VALUE"""),"ЛУЦК")</f>
        <v>ЛУЦК</v>
      </c>
      <c r="S279" t="str">
        <f ca="1">IFERROR(__xludf.DUMMYFUNCTION("""COMPUTED_VALUE"""),"24.07.21 19-30")</f>
        <v>24.07.21 19-30</v>
      </c>
      <c r="T279">
        <f ca="1">IFERROR(__xludf.DUMMYFUNCTION("""COMPUTED_VALUE"""),4456)</f>
        <v>4456</v>
      </c>
      <c r="U279" t="str">
        <f ca="1">IFERROR(__xludf.DUMMYFUNCTION("""COMPUTED_VALUE"""),"25.04.2022 ДР")</f>
        <v>25.04.2022 ДР</v>
      </c>
      <c r="AA279" t="str">
        <f ca="1">IFERROR(__xludf.DUMMYFUNCTION("""COMPUTED_VALUE"""),"11-217")</f>
        <v>11-217</v>
      </c>
      <c r="AB279" t="str">
        <f ca="1">IFERROR(__xludf.DUMMYFUNCTION("""COMPUTED_VALUE"""),"40 ОД")</f>
        <v>40 ОД</v>
      </c>
      <c r="AC279" t="str">
        <f ca="1">IFERROR(__xludf.DUMMYFUNCTION("""COMPUTED_VALUE"""),"42000 ИМ.Т.ШЕВЧЕНК")</f>
        <v>42000 ИМ.Т.ШЕВЧЕНК</v>
      </c>
      <c r="AD279" t="str">
        <f ca="1">IFERROR(__xludf.DUMMYFUNCTION("""COMPUTED_VALUE"""),"29.03.19 16-00")</f>
        <v>29.03.19 16-00</v>
      </c>
      <c r="AE279" t="str">
        <f ca="1">IFERROR(__xludf.DUMMYFUNCTION("""COMPUTED_VALUE"""),"571 ИCТEК КAЛЕНДАРНЫЙ CPOК КAПИТAЛЬНОГО PEМOНТA")</f>
        <v>571 ИCТEК КAЛЕНДАРНЫЙ CPOК КAПИТAЛЬНОГО PEМOНТA</v>
      </c>
      <c r="AF279" t="str">
        <f ca="1">IFERROR(__xludf.DUMMYFUNCTION("""COMPUTED_VALUE"""),"40 ОД")</f>
        <v>40 ОД</v>
      </c>
      <c r="AG279" t="str">
        <f ca="1">IFERROR(__xludf.DUMMYFUNCTION("""COMPUTED_VALUE"""),"42000 ИМ.Т.ШЕВЧЕНК")</f>
        <v>42000 ИМ.Т.ШЕВЧЕНК</v>
      </c>
      <c r="AH279" t="str">
        <f ca="1">IFERROR(__xludf.DUMMYFUNCTION("""COMPUTED_VALUE"""),"25.04.19 14-00")</f>
        <v>25.04.19 14-00</v>
      </c>
      <c r="AI279" s="21">
        <f ca="1">IFERROR(__xludf.DUMMYFUNCTION("""COMPUTED_VALUE"""),44420.3576851851)</f>
        <v>44420.357685185103</v>
      </c>
    </row>
    <row r="280" spans="1:35" ht="13" x14ac:dyDescent="0.15">
      <c r="A280">
        <f ca="1">IFERROR(__xludf.DUMMYFUNCTION("""COMPUTED_VALUE"""),1615)</f>
        <v>1615</v>
      </c>
      <c r="B280" t="str">
        <f ca="1">IFERROR(__xludf.DUMMYFUNCTION("""COMPUTED_VALUE"""),"ВИК")</f>
        <v>ВИК</v>
      </c>
      <c r="C280" t="str">
        <f ca="1">IFERROR(__xludf.DUMMYFUNCTION("""COMPUTED_VALUE"""),"ВИК")</f>
        <v>ВИК</v>
      </c>
      <c r="D280">
        <f ca="1">IFERROR(__xludf.DUMMYFUNCTION("""COMPUTED_VALUE"""),24029787)</f>
        <v>24029787</v>
      </c>
      <c r="E280" t="str">
        <f ca="1">IFERROR(__xludf.DUMMYFUNCTION("""COMPUTED_VALUE"""),"20 КРЫТЫЕ")</f>
        <v>20 КРЫТЫЕ</v>
      </c>
      <c r="F280">
        <f ca="1">IFERROR(__xludf.DUMMYFUNCTION("""COMPUTED_VALUE"""),42103)</f>
        <v>42103</v>
      </c>
      <c r="G280" t="str">
        <f ca="1">IFERROR(__xludf.DUMMYFUNCTION("""COMPUTED_VALUE"""),"ВАГОНЫ ЖД СВ")</f>
        <v>ВАГОНЫ ЖД СВ</v>
      </c>
      <c r="H280">
        <f ca="1">IFERROR(__xludf.DUMMYFUNCTION("""COMPUTED_VALUE"""),0)</f>
        <v>0</v>
      </c>
      <c r="I280">
        <f ca="1">IFERROR(__xludf.DUMMYFUNCTION("""COMPUTED_VALUE"""),4149)</f>
        <v>4149</v>
      </c>
      <c r="J280" t="str">
        <f ca="1">IFERROR(__xludf.DUMMYFUNCTION("""COMPUTED_VALUE"""),"2944 (37000-716-45000) ЛЬВОВ - НИЖНЕДН-УЗЕЛ")</f>
        <v>2944 (37000-716-45000) ЛЬВОВ - НИЖНЕДН-УЗЕЛ</v>
      </c>
      <c r="K280">
        <f ca="1">IFERROR(__xludf.DUMMYFUNCTION("""COMPUTED_VALUE"""),34001)</f>
        <v>34001</v>
      </c>
      <c r="L280" t="str">
        <f ca="1">IFERROR(__xludf.DUMMYFUNCTION("""COMPUTED_VALUE"""),"СУДИЛКОВО")</f>
        <v>СУДИЛКОВО</v>
      </c>
      <c r="M280" t="str">
        <f ca="1">IFERROR(__xludf.DUMMYFUNCTION("""COMPUTED_VALUE"""),"12.08.21 08-15")</f>
        <v>12.08.21 08-15</v>
      </c>
      <c r="N280" t="str">
        <f ca="1">IFERROR(__xludf.DUMMYFUNCTION("""COMPUTED_VALUE"""),"03 ПРОС")</f>
        <v>03 ПРОС</v>
      </c>
      <c r="O280">
        <f ca="1">IFERROR(__xludf.DUMMYFUNCTION("""COMPUTED_VALUE"""),49620)</f>
        <v>49620</v>
      </c>
      <c r="P280" t="str">
        <f ca="1">IFERROR(__xludf.DUMMYFUNCTION("""COMPUTED_VALUE"""),"ДЕКОНСКАЯ")</f>
        <v>ДЕКОНСКАЯ</v>
      </c>
      <c r="Q280">
        <f ca="1">IFERROR(__xludf.DUMMYFUNCTION("""COMPUTED_VALUE"""),38000)</f>
        <v>38000</v>
      </c>
      <c r="R280" t="str">
        <f ca="1">IFERROR(__xludf.DUMMYFUNCTION("""COMPUTED_VALUE"""),"МУКАЧЕВО")</f>
        <v>МУКАЧЕВО</v>
      </c>
      <c r="S280" t="str">
        <f ca="1">IFERROR(__xludf.DUMMYFUNCTION("""COMPUTED_VALUE"""),"09.08.21 14-10")</f>
        <v>09.08.21 14-10</v>
      </c>
      <c r="T280">
        <f ca="1">IFERROR(__xludf.DUMMYFUNCTION("""COMPUTED_VALUE"""),4456)</f>
        <v>4456</v>
      </c>
      <c r="U280" t="str">
        <f ca="1">IFERROR(__xludf.DUMMYFUNCTION("""COMPUTED_VALUE"""),"26.06.2022 ДР")</f>
        <v>26.06.2022 ДР</v>
      </c>
      <c r="AA280" t="str">
        <f ca="1">IFERROR(__xludf.DUMMYFUNCTION("""COMPUTED_VALUE"""),"11-217")</f>
        <v>11-217</v>
      </c>
      <c r="AB280" t="str">
        <f ca="1">IFERROR(__xludf.DUMMYFUNCTION("""COMPUTED_VALUE"""),"40 ОД")</f>
        <v>40 ОД</v>
      </c>
      <c r="AC280" t="str">
        <f ca="1">IFERROR(__xludf.DUMMYFUNCTION("""COMPUTED_VALUE"""),"41190 ПОМОШНАЯ")</f>
        <v>41190 ПОМОШНАЯ</v>
      </c>
      <c r="AD280" t="str">
        <f ca="1">IFERROR(__xludf.DUMMYFUNCTION("""COMPUTED_VALUE"""),"16.06.20 13-00")</f>
        <v>16.06.20 13-00</v>
      </c>
      <c r="AE280" t="str">
        <f ca="1">IFERROR(__xludf.DUMMYFUNCTION("""COMPUTED_VALUE"""),"570 ИCТEК КAЛЕНДАРНЫЙ CPOК ДEПOВCКОГО PEМOНТA")</f>
        <v>570 ИCТEК КAЛЕНДАРНЫЙ CPOК ДEПOВCКОГО PEМOНТA</v>
      </c>
      <c r="AF280" t="str">
        <f ca="1">IFERROR(__xludf.DUMMYFUNCTION("""COMPUTED_VALUE"""),"40 ОД")</f>
        <v>40 ОД</v>
      </c>
      <c r="AG280" t="str">
        <f ca="1">IFERROR(__xludf.DUMMYFUNCTION("""COMPUTED_VALUE"""),"41190 ПОМОШНАЯ")</f>
        <v>41190 ПОМОШНАЯ</v>
      </c>
      <c r="AH280" t="str">
        <f ca="1">IFERROR(__xludf.DUMMYFUNCTION("""COMPUTED_VALUE"""),"26.06.20 16-00")</f>
        <v>26.06.20 16-00</v>
      </c>
      <c r="AI280" s="21">
        <f ca="1">IFERROR(__xludf.DUMMYFUNCTION("""COMPUTED_VALUE"""),44420.3576851851)</f>
        <v>44420.357685185103</v>
      </c>
    </row>
    <row r="281" spans="1:35" ht="13" x14ac:dyDescent="0.15">
      <c r="A281">
        <f ca="1">IFERROR(__xludf.DUMMYFUNCTION("""COMPUTED_VALUE"""),1616)</f>
        <v>1616</v>
      </c>
      <c r="B281" t="str">
        <f ca="1">IFERROR(__xludf.DUMMYFUNCTION("""COMPUTED_VALUE"""),"ВИК")</f>
        <v>ВИК</v>
      </c>
      <c r="C281" t="str">
        <f ca="1">IFERROR(__xludf.DUMMYFUNCTION("""COMPUTED_VALUE"""),"ВИК")</f>
        <v>ВИК</v>
      </c>
      <c r="D281">
        <f ca="1">IFERROR(__xludf.DUMMYFUNCTION("""COMPUTED_VALUE"""),24033862)</f>
        <v>24033862</v>
      </c>
      <c r="E281" t="str">
        <f ca="1">IFERROR(__xludf.DUMMYFUNCTION("""COMPUTED_VALUE"""),"20 КРЫТЫЕ")</f>
        <v>20 КРЫТЫЕ</v>
      </c>
      <c r="F281">
        <f ca="1">IFERROR(__xludf.DUMMYFUNCTION("""COMPUTED_VALUE"""),42103)</f>
        <v>42103</v>
      </c>
      <c r="G281" t="str">
        <f ca="1">IFERROR(__xludf.DUMMYFUNCTION("""COMPUTED_VALUE"""),"ВАГОНЫ ЖД СВ")</f>
        <v>ВАГОНЫ ЖД СВ</v>
      </c>
      <c r="H281">
        <f ca="1">IFERROR(__xludf.DUMMYFUNCTION("""COMPUTED_VALUE"""),60)</f>
        <v>60</v>
      </c>
      <c r="I281">
        <f ca="1">IFERROR(__xludf.DUMMYFUNCTION("""COMPUTED_VALUE"""),7305)</f>
        <v>7305</v>
      </c>
      <c r="J281" t="str">
        <f ca="1">IFERROR(__xludf.DUMMYFUNCTION("""COMPUTED_VALUE"""),"2226 (35000-010-34270) ЗДОЛБУНОВ - КАЗАТИН I")</f>
        <v>2226 (35000-010-34270) ЗДОЛБУНОВ - КАЗАТИН I</v>
      </c>
      <c r="K281">
        <f ca="1">IFERROR(__xludf.DUMMYFUNCTION("""COMPUTED_VALUE"""),34150)</f>
        <v>34150</v>
      </c>
      <c r="L281" t="str">
        <f ca="1">IFERROR(__xludf.DUMMYFUNCTION("""COMPUTED_VALUE"""),"ЦВЕТОХА")</f>
        <v>ЦВЕТОХА</v>
      </c>
      <c r="M281" t="str">
        <f ca="1">IFERROR(__xludf.DUMMYFUNCTION("""COMPUTED_VALUE"""),"12.08.21 07-48")</f>
        <v>12.08.21 07-48</v>
      </c>
      <c r="N281" t="str">
        <f ca="1">IFERROR(__xludf.DUMMYFUNCTION("""COMPUTED_VALUE"""),"03 ПРОС")</f>
        <v>03 ПРОС</v>
      </c>
      <c r="O281">
        <f ca="1">IFERROR(__xludf.DUMMYFUNCTION("""COMPUTED_VALUE"""),46350)</f>
        <v>46350</v>
      </c>
      <c r="P281" t="str">
        <f ca="1">IFERROR(__xludf.DUMMYFUNCTION("""COMPUTED_VALUE"""),"ПЕРЕДАТОЧНАЯ")</f>
        <v>ПЕРЕДАТОЧНАЯ</v>
      </c>
      <c r="Q281">
        <f ca="1">IFERROR(__xludf.DUMMYFUNCTION("""COMPUTED_VALUE"""),46350)</f>
        <v>46350</v>
      </c>
      <c r="R281" t="str">
        <f ca="1">IFERROR(__xludf.DUMMYFUNCTION("""COMPUTED_VALUE"""),"ПЕРЕДАТОЧНАЯ")</f>
        <v>ПЕРЕДАТОЧНАЯ</v>
      </c>
      <c r="S281" t="str">
        <f ca="1">IFERROR(__xludf.DUMMYFUNCTION("""COMPUTED_VALUE"""),"27.07.21 15-00")</f>
        <v>27.07.21 15-00</v>
      </c>
      <c r="T281">
        <f ca="1">IFERROR(__xludf.DUMMYFUNCTION("""COMPUTED_VALUE"""),0)</f>
        <v>0</v>
      </c>
      <c r="U281" t="str">
        <f ca="1">IFERROR(__xludf.DUMMYFUNCTION("""COMPUTED_VALUE"""),"20.10.2021 ДР")</f>
        <v>20.10.2021 ДР</v>
      </c>
      <c r="AA281" t="str">
        <f ca="1">IFERROR(__xludf.DUMMYFUNCTION("""COMPUTED_VALUE"""),"11-217")</f>
        <v>11-217</v>
      </c>
      <c r="AB281" t="str">
        <f ca="1">IFERROR(__xludf.DUMMYFUNCTION("""COMPUTED_VALUE"""),"48 ДОН")</f>
        <v>48 ДОН</v>
      </c>
      <c r="AC281" t="str">
        <f ca="1">IFERROR(__xludf.DUMMYFUNCTION("""COMPUTED_VALUE"""),"49480 СОЛЬ")</f>
        <v>49480 СОЛЬ</v>
      </c>
      <c r="AD281" t="str">
        <f ca="1">IFERROR(__xludf.DUMMYFUNCTION("""COMPUTED_VALUE"""),"17.04.21 05-00")</f>
        <v>17.04.21 05-00</v>
      </c>
      <c r="AE281" t="str">
        <f ca="1">IFERROR(__xludf.DUMMYFUNCTION("""COMPUTED_VALUE"""),"563")</f>
        <v>563</v>
      </c>
      <c r="AF281" t="str">
        <f ca="1">IFERROR(__xludf.DUMMYFUNCTION("""COMPUTED_VALUE"""),"48 ДОН")</f>
        <v>48 ДОН</v>
      </c>
      <c r="AG281" t="str">
        <f ca="1">IFERROR(__xludf.DUMMYFUNCTION("""COMPUTED_VALUE"""),"49480 СОЛЬ")</f>
        <v>49480 СОЛЬ</v>
      </c>
      <c r="AH281" t="str">
        <f ca="1">IFERROR(__xludf.DUMMYFUNCTION("""COMPUTED_VALUE"""),"22.04.21 16-00")</f>
        <v>22.04.21 16-00</v>
      </c>
      <c r="AI281" s="21">
        <f ca="1">IFERROR(__xludf.DUMMYFUNCTION("""COMPUTED_VALUE"""),44420.3576851851)</f>
        <v>44420.357685185103</v>
      </c>
    </row>
    <row r="282" spans="1:35" ht="13" x14ac:dyDescent="0.15">
      <c r="A282">
        <f ca="1">IFERROR(__xludf.DUMMYFUNCTION("""COMPUTED_VALUE"""),1617)</f>
        <v>1617</v>
      </c>
      <c r="B282" t="str">
        <f ca="1">IFERROR(__xludf.DUMMYFUNCTION("""COMPUTED_VALUE"""),"ВИК")</f>
        <v>ВИК</v>
      </c>
      <c r="C282" t="str">
        <f ca="1">IFERROR(__xludf.DUMMYFUNCTION("""COMPUTED_VALUE"""),"ВИК")</f>
        <v>ВИК</v>
      </c>
      <c r="D282">
        <f ca="1">IFERROR(__xludf.DUMMYFUNCTION("""COMPUTED_VALUE"""),24038630)</f>
        <v>24038630</v>
      </c>
      <c r="E282" t="str">
        <f ca="1">IFERROR(__xludf.DUMMYFUNCTION("""COMPUTED_VALUE"""),"20 КРЫТЫЕ")</f>
        <v>20 КРЫТЫЕ</v>
      </c>
      <c r="F282">
        <f ca="1">IFERROR(__xludf.DUMMYFUNCTION("""COMPUTED_VALUE"""),23304)</f>
        <v>23304</v>
      </c>
      <c r="G282" t="str">
        <f ca="1">IFERROR(__xludf.DUMMYFUNCTION("""COMPUTED_VALUE"""),"ГИПС ПР")</f>
        <v>ГИПС ПР</v>
      </c>
      <c r="H282">
        <f ca="1">IFERROR(__xludf.DUMMYFUNCTION("""COMPUTED_VALUE"""),68)</f>
        <v>68</v>
      </c>
      <c r="I282">
        <f ca="1">IFERROR(__xludf.DUMMYFUNCTION("""COMPUTED_VALUE"""),2567)</f>
        <v>2567</v>
      </c>
      <c r="J282" t="str">
        <f ca="1">IFERROR(__xludf.DUMMYFUNCTION("""COMPUTED_VALUE"""),"1111 (49460-043-49000) БАХМУТ - ЛИМАН")</f>
        <v>1111 (49460-043-49000) БАХМУТ - ЛИМАН</v>
      </c>
      <c r="K282">
        <f ca="1">IFERROR(__xludf.DUMMYFUNCTION("""COMPUTED_VALUE"""),49460)</f>
        <v>49460</v>
      </c>
      <c r="L282" t="str">
        <f ca="1">IFERROR(__xludf.DUMMYFUNCTION("""COMPUTED_VALUE"""),"БАХМУТ")</f>
        <v>БАХМУТ</v>
      </c>
      <c r="M282" t="str">
        <f ca="1">IFERROR(__xludf.DUMMYFUNCTION("""COMPUTED_VALUE"""),"12.08.21 04-00")</f>
        <v>12.08.21 04-00</v>
      </c>
      <c r="N282" t="str">
        <f ca="1">IFERROR(__xludf.DUMMYFUNCTION("""COMPUTED_VALUE"""),"05 ФОРМ")</f>
        <v>05 ФОРМ</v>
      </c>
      <c r="O282">
        <f ca="1">IFERROR(__xludf.DUMMYFUNCTION("""COMPUTED_VALUE"""),40510)</f>
        <v>40510</v>
      </c>
      <c r="P282" t="str">
        <f ca="1">IFERROR(__xludf.DUMMYFUNCTION("""COMPUTED_VALUE"""),"ОДЕССА-ЗАС I")</f>
        <v>ОДЕССА-ЗАС I</v>
      </c>
      <c r="Q282">
        <f ca="1">IFERROR(__xludf.DUMMYFUNCTION("""COMPUTED_VALUE"""),49620)</f>
        <v>49620</v>
      </c>
      <c r="R282" t="str">
        <f ca="1">IFERROR(__xludf.DUMMYFUNCTION("""COMPUTED_VALUE"""),"ДЕКОНСКАЯ")</f>
        <v>ДЕКОНСКАЯ</v>
      </c>
      <c r="S282" t="str">
        <f ca="1">IFERROR(__xludf.DUMMYFUNCTION("""COMPUTED_VALUE"""),"11.08.21 09-30")</f>
        <v>11.08.21 09-30</v>
      </c>
      <c r="T282">
        <f ca="1">IFERROR(__xludf.DUMMYFUNCTION("""COMPUTED_VALUE"""),4149)</f>
        <v>4149</v>
      </c>
      <c r="U282" t="str">
        <f ca="1">IFERROR(__xludf.DUMMYFUNCTION("""COMPUTED_VALUE"""),"27.04.2022 ДР")</f>
        <v>27.04.2022 ДР</v>
      </c>
      <c r="AA282" t="str">
        <f ca="1">IFERROR(__xludf.DUMMYFUNCTION("""COMPUTED_VALUE"""),"11-217")</f>
        <v>11-217</v>
      </c>
      <c r="AB282" t="str">
        <f ca="1">IFERROR(__xludf.DUMMYFUNCTION("""COMPUTED_VALUE"""),"43 ЮЖН")</f>
        <v>43 ЮЖН</v>
      </c>
      <c r="AC282" t="str">
        <f ca="1">IFERROR(__xludf.DUMMYFUNCTION("""COMPUTED_VALUE"""),"44020 ОСНОВА")</f>
        <v>44020 ОСНОВА</v>
      </c>
      <c r="AD282" t="str">
        <f ca="1">IFERROR(__xludf.DUMMYFUNCTION("""COMPUTED_VALUE"""),"22.07.21 12-06")</f>
        <v>22.07.21 12-06</v>
      </c>
      <c r="AE282" t="str">
        <f ca="1">IFERROR(__xludf.DUMMYFUNCTION("""COMPUTED_VALUE"""),"537 НEИCПPAВНOCТЬ ЗAПOPA ДВEPИ")</f>
        <v>537 НEИCПPAВНOCТЬ ЗAПOPA ДВEPИ</v>
      </c>
      <c r="AF282" t="str">
        <f ca="1">IFERROR(__xludf.DUMMYFUNCTION("""COMPUTED_VALUE"""),"43 ЮЖН")</f>
        <v>43 ЮЖН</v>
      </c>
      <c r="AG282" t="str">
        <f ca="1">IFERROR(__xludf.DUMMYFUNCTION("""COMPUTED_VALUE"""),"44020 ОСНОВА")</f>
        <v>44020 ОСНОВА</v>
      </c>
      <c r="AH282" t="str">
        <f ca="1">IFERROR(__xludf.DUMMYFUNCTION("""COMPUTED_VALUE"""),"22.07.21 17-10")</f>
        <v>22.07.21 17-10</v>
      </c>
      <c r="AI282" s="21">
        <f ca="1">IFERROR(__xludf.DUMMYFUNCTION("""COMPUTED_VALUE"""),44420.3576851851)</f>
        <v>44420.357685185103</v>
      </c>
    </row>
    <row r="283" spans="1:35" ht="13" x14ac:dyDescent="0.15">
      <c r="A283">
        <f ca="1">IFERROR(__xludf.DUMMYFUNCTION("""COMPUTED_VALUE"""),1618)</f>
        <v>1618</v>
      </c>
      <c r="B283" t="str">
        <f ca="1">IFERROR(__xludf.DUMMYFUNCTION("""COMPUTED_VALUE"""),"ВИК")</f>
        <v>ВИК</v>
      </c>
      <c r="C283" t="str">
        <f ca="1">IFERROR(__xludf.DUMMYFUNCTION("""COMPUTED_VALUE"""),"ВИК")</f>
        <v>ВИК</v>
      </c>
      <c r="D283">
        <f ca="1">IFERROR(__xludf.DUMMYFUNCTION("""COMPUTED_VALUE"""),24039729)</f>
        <v>24039729</v>
      </c>
      <c r="E283" t="str">
        <f ca="1">IFERROR(__xludf.DUMMYFUNCTION("""COMPUTED_VALUE"""),"20 КРЫТЫЕ")</f>
        <v>20 КРЫТЫЕ</v>
      </c>
      <c r="F283">
        <f ca="1">IFERROR(__xludf.DUMMYFUNCTION("""COMPUTED_VALUE"""),42103)</f>
        <v>42103</v>
      </c>
      <c r="G283" t="str">
        <f ca="1">IFERROR(__xludf.DUMMYFUNCTION("""COMPUTED_VALUE"""),"ВАГОНЫ ЖД СВ")</f>
        <v>ВАГОНЫ ЖД СВ</v>
      </c>
      <c r="H283">
        <f ca="1">IFERROR(__xludf.DUMMYFUNCTION("""COMPUTED_VALUE"""),66)</f>
        <v>66</v>
      </c>
      <c r="I283">
        <f ca="1">IFERROR(__xludf.DUMMYFUNCTION("""COMPUTED_VALUE"""),1556)</f>
        <v>1556</v>
      </c>
      <c r="J283" t="str">
        <f ca="1">IFERROR(__xludf.DUMMYFUNCTION("""COMPUTED_VALUE"""),"0000 (00000-000-00000)  -")</f>
        <v>0000 (00000-000-00000)  -</v>
      </c>
      <c r="K283">
        <f ca="1">IFERROR(__xludf.DUMMYFUNCTION("""COMPUTED_VALUE"""),40200)</f>
        <v>40200</v>
      </c>
      <c r="L283" t="str">
        <f ca="1">IFERROR(__xludf.DUMMYFUNCTION("""COMPUTED_VALUE"""),"ЧЕРНОМОРСК-П")</f>
        <v>ЧЕРНОМОРСК-П</v>
      </c>
      <c r="M283" t="str">
        <f ca="1">IFERROR(__xludf.DUMMYFUNCTION("""COMPUTED_VALUE"""),"11.08.21 15-06")</f>
        <v>11.08.21 15-06</v>
      </c>
      <c r="N283" t="str">
        <f ca="1">IFERROR(__xludf.DUMMYFUNCTION("""COMPUTED_VALUE"""),"73 КОРР")</f>
        <v>73 КОРР</v>
      </c>
      <c r="O283">
        <f ca="1">IFERROR(__xludf.DUMMYFUNCTION("""COMPUTED_VALUE"""),40200)</f>
        <v>40200</v>
      </c>
      <c r="P283" t="str">
        <f ca="1">IFERROR(__xludf.DUMMYFUNCTION("""COMPUTED_VALUE"""),"ЧЕРНОМОРСК-П")</f>
        <v>ЧЕРНОМОРСК-П</v>
      </c>
      <c r="Q283">
        <f ca="1">IFERROR(__xludf.DUMMYFUNCTION("""COMPUTED_VALUE"""),46350)</f>
        <v>46350</v>
      </c>
      <c r="R283" t="str">
        <f ca="1">IFERROR(__xludf.DUMMYFUNCTION("""COMPUTED_VALUE"""),"ПЕРЕДАТОЧНАЯ")</f>
        <v>ПЕРЕДАТОЧНАЯ</v>
      </c>
      <c r="S283" t="str">
        <f ca="1">IFERROR(__xludf.DUMMYFUNCTION("""COMPUTED_VALUE"""),"11.06.21 16-50")</f>
        <v>11.06.21 16-50</v>
      </c>
      <c r="T283">
        <f ca="1">IFERROR(__xludf.DUMMYFUNCTION("""COMPUTED_VALUE"""),0)</f>
        <v>0</v>
      </c>
      <c r="U283" t="str">
        <f ca="1">IFERROR(__xludf.DUMMYFUNCTION("""COMPUTED_VALUE"""),"02.04.2022 ДР")</f>
        <v>02.04.2022 ДР</v>
      </c>
      <c r="AA283" t="str">
        <f ca="1">IFERROR(__xludf.DUMMYFUNCTION("""COMPUTED_VALUE"""),"11-217")</f>
        <v>11-217</v>
      </c>
      <c r="AB283" t="str">
        <f ca="1">IFERROR(__xludf.DUMMYFUNCTION("""COMPUTED_VALUE"""),"35 ЛЬВ")</f>
        <v>35 ЛЬВ</v>
      </c>
      <c r="AC283" t="str">
        <f ca="1">IFERROR(__xludf.DUMMYFUNCTION("""COMPUTED_VALUE"""),"35400 КОВЕЛЬ")</f>
        <v>35400 КОВЕЛЬ</v>
      </c>
      <c r="AD283" t="str">
        <f ca="1">IFERROR(__xludf.DUMMYFUNCTION("""COMPUTED_VALUE"""),"16.06.21 08-03")</f>
        <v>16.06.21 08-03</v>
      </c>
      <c r="AE283" t="str">
        <f ca="1">IFERROR(__xludf.DUMMYFUNCTION("""COMPUTED_VALUE"""),"537 НEИCПPAВНOCТЬ ЗAПOPA ДВEPИ")</f>
        <v>537 НEИCПPAВНOCТЬ ЗAПOPA ДВEPИ</v>
      </c>
      <c r="AF283" t="str">
        <f ca="1">IFERROR(__xludf.DUMMYFUNCTION("""COMPUTED_VALUE"""),"35 ЛЬВ")</f>
        <v>35 ЛЬВ</v>
      </c>
      <c r="AG283" t="str">
        <f ca="1">IFERROR(__xludf.DUMMYFUNCTION("""COMPUTED_VALUE"""),"35400 КОВЕЛЬ")</f>
        <v>35400 КОВЕЛЬ</v>
      </c>
      <c r="AH283" t="str">
        <f ca="1">IFERROR(__xludf.DUMMYFUNCTION("""COMPUTED_VALUE"""),"18.06.21 15-00")</f>
        <v>18.06.21 15-00</v>
      </c>
      <c r="AI283" s="21">
        <f ca="1">IFERROR(__xludf.DUMMYFUNCTION("""COMPUTED_VALUE"""),44420.3576851851)</f>
        <v>44420.357685185103</v>
      </c>
    </row>
    <row r="284" spans="1:35" ht="13" x14ac:dyDescent="0.15">
      <c r="A284">
        <f ca="1">IFERROR(__xludf.DUMMYFUNCTION("""COMPUTED_VALUE"""),1619)</f>
        <v>1619</v>
      </c>
      <c r="B284" t="str">
        <f ca="1">IFERROR(__xludf.DUMMYFUNCTION("""COMPUTED_VALUE"""),"ВИК")</f>
        <v>ВИК</v>
      </c>
      <c r="C284" t="str">
        <f ca="1">IFERROR(__xludf.DUMMYFUNCTION("""COMPUTED_VALUE"""),"ВИК")</f>
        <v>ВИК</v>
      </c>
      <c r="D284">
        <f ca="1">IFERROR(__xludf.DUMMYFUNCTION("""COMPUTED_VALUE"""),24040883)</f>
        <v>24040883</v>
      </c>
      <c r="E284" t="str">
        <f ca="1">IFERROR(__xludf.DUMMYFUNCTION("""COMPUTED_VALUE"""),"20 КРЫТЫЕ")</f>
        <v>20 КРЫТЫЕ</v>
      </c>
      <c r="F284">
        <f ca="1">IFERROR(__xludf.DUMMYFUNCTION("""COMPUTED_VALUE"""),42103)</f>
        <v>42103</v>
      </c>
      <c r="G284" t="str">
        <f ca="1">IFERROR(__xludf.DUMMYFUNCTION("""COMPUTED_VALUE"""),"ВАГОНЫ ЖД СВ")</f>
        <v>ВАГОНЫ ЖД СВ</v>
      </c>
      <c r="H284">
        <f ca="1">IFERROR(__xludf.DUMMYFUNCTION("""COMPUTED_VALUE"""),0)</f>
        <v>0</v>
      </c>
      <c r="I284">
        <f ca="1">IFERROR(__xludf.DUMMYFUNCTION("""COMPUTED_VALUE"""),4149)</f>
        <v>4149</v>
      </c>
      <c r="J284" t="str">
        <f ca="1">IFERROR(__xludf.DUMMYFUNCTION("""COMPUTED_VALUE"""),"3524 (49870-077-43000) РУБЕЖНОЕ - КУПЯНСК-СОРТ")</f>
        <v>3524 (49870-077-43000) РУБЕЖНОЕ - КУПЯНСК-СОРТ</v>
      </c>
      <c r="K284">
        <f ca="1">IFERROR(__xludf.DUMMYFUNCTION("""COMPUTED_VALUE"""),43000)</f>
        <v>43000</v>
      </c>
      <c r="L284" t="str">
        <f ca="1">IFERROR(__xludf.DUMMYFUNCTION("""COMPUTED_VALUE"""),"КУПЯНСК-СОРТ")</f>
        <v>КУПЯНСК-СОРТ</v>
      </c>
      <c r="M284" t="str">
        <f ca="1">IFERROR(__xludf.DUMMYFUNCTION("""COMPUTED_VALUE"""),"11.08.21 22-35")</f>
        <v>11.08.21 22-35</v>
      </c>
      <c r="N284" t="str">
        <f ca="1">IFERROR(__xludf.DUMMYFUNCTION("""COMPUTED_VALUE"""),"04 РАСФ")</f>
        <v>04 РАСФ</v>
      </c>
      <c r="O284">
        <f ca="1">IFERROR(__xludf.DUMMYFUNCTION("""COMPUTED_VALUE"""),49620)</f>
        <v>49620</v>
      </c>
      <c r="P284" t="str">
        <f ca="1">IFERROR(__xludf.DUMMYFUNCTION("""COMPUTED_VALUE"""),"ДЕКОНСКАЯ")</f>
        <v>ДЕКОНСКАЯ</v>
      </c>
      <c r="Q284">
        <f ca="1">IFERROR(__xludf.DUMMYFUNCTION("""COMPUTED_VALUE"""),49870)</f>
        <v>49870</v>
      </c>
      <c r="R284" t="str">
        <f ca="1">IFERROR(__xludf.DUMMYFUNCTION("""COMPUTED_VALUE"""),"РУБЕЖНОЕ")</f>
        <v>РУБЕЖНОЕ</v>
      </c>
      <c r="S284" t="str">
        <f ca="1">IFERROR(__xludf.DUMMYFUNCTION("""COMPUTED_VALUE"""),"11.08.21 00-30")</f>
        <v>11.08.21 00-30</v>
      </c>
      <c r="T284">
        <f ca="1">IFERROR(__xludf.DUMMYFUNCTION("""COMPUTED_VALUE"""),4456)</f>
        <v>4456</v>
      </c>
      <c r="U284" t="str">
        <f ca="1">IFERROR(__xludf.DUMMYFUNCTION("""COMPUTED_VALUE"""),"25.09.2021 ДР")</f>
        <v>25.09.2021 ДР</v>
      </c>
      <c r="AA284" t="str">
        <f ca="1">IFERROR(__xludf.DUMMYFUNCTION("""COMPUTED_VALUE"""),"11-217")</f>
        <v>11-217</v>
      </c>
      <c r="AB284" t="str">
        <f ca="1">IFERROR(__xludf.DUMMYFUNCTION("""COMPUTED_VALUE"""),"40 ОД")</f>
        <v>40 ОД</v>
      </c>
      <c r="AC284" t="str">
        <f ca="1">IFERROR(__xludf.DUMMYFUNCTION("""COMPUTED_VALUE"""),"41190 ПОМОШНАЯ")</f>
        <v>41190 ПОМОШНАЯ</v>
      </c>
      <c r="AD284" t="str">
        <f ca="1">IFERROR(__xludf.DUMMYFUNCTION("""COMPUTED_VALUE"""),"25.03.21 10-30")</f>
        <v>25.03.21 10-30</v>
      </c>
      <c r="AE284" t="str">
        <f ca="1">IFERROR(__xludf.DUMMYFUNCTION("""COMPUTED_VALUE"""),"102 ТOНКИЙ ГPEБEНЬ")</f>
        <v>102 ТOНКИЙ ГPEБEНЬ</v>
      </c>
      <c r="AF284" t="str">
        <f ca="1">IFERROR(__xludf.DUMMYFUNCTION("""COMPUTED_VALUE"""),"40 ОД")</f>
        <v>40 ОД</v>
      </c>
      <c r="AG284" t="str">
        <f ca="1">IFERROR(__xludf.DUMMYFUNCTION("""COMPUTED_VALUE"""),"41190 ПОМОШНАЯ")</f>
        <v>41190 ПОМОШНАЯ</v>
      </c>
      <c r="AH284" t="str">
        <f ca="1">IFERROR(__xludf.DUMMYFUNCTION("""COMPUTED_VALUE"""),"25.03.21 18-05")</f>
        <v>25.03.21 18-05</v>
      </c>
      <c r="AI284" s="21">
        <f ca="1">IFERROR(__xludf.DUMMYFUNCTION("""COMPUTED_VALUE"""),44420.3576851851)</f>
        <v>44420.357685185103</v>
      </c>
    </row>
    <row r="285" spans="1:35" ht="13" x14ac:dyDescent="0.15">
      <c r="A285">
        <f ca="1">IFERROR(__xludf.DUMMYFUNCTION("""COMPUTED_VALUE"""),1620)</f>
        <v>1620</v>
      </c>
      <c r="B285" t="str">
        <f ca="1">IFERROR(__xludf.DUMMYFUNCTION("""COMPUTED_VALUE"""),"ВИК")</f>
        <v>ВИК</v>
      </c>
      <c r="C285" t="str">
        <f ca="1">IFERROR(__xludf.DUMMYFUNCTION("""COMPUTED_VALUE"""),"ВИК")</f>
        <v>ВИК</v>
      </c>
      <c r="D285">
        <f ca="1">IFERROR(__xludf.DUMMYFUNCTION("""COMPUTED_VALUE"""),24041048)</f>
        <v>24041048</v>
      </c>
      <c r="E285" t="str">
        <f ca="1">IFERROR(__xludf.DUMMYFUNCTION("""COMPUTED_VALUE"""),"20 КРЫТЫЕ")</f>
        <v>20 КРЫТЫЕ</v>
      </c>
      <c r="F285">
        <f ca="1">IFERROR(__xludf.DUMMYFUNCTION("""COMPUTED_VALUE"""),42119)</f>
        <v>42119</v>
      </c>
      <c r="G285" t="str">
        <f ca="1">IFERROR(__xludf.DUMMYFUNCTION("""COMPUTED_VALUE"""),"ВАГОНЫ ЖД РЕМОН")</f>
        <v>ВАГОНЫ ЖД РЕМОН</v>
      </c>
      <c r="H285">
        <f ca="1">IFERROR(__xludf.DUMMYFUNCTION("""COMPUTED_VALUE"""),0)</f>
        <v>0</v>
      </c>
      <c r="I285">
        <f ca="1">IFERROR(__xludf.DUMMYFUNCTION("""COMPUTED_VALUE"""),2892)</f>
        <v>2892</v>
      </c>
      <c r="J285" t="str">
        <f ca="1">IFERROR(__xludf.DUMMYFUNCTION("""COMPUTED_VALUE"""),"2471 (37040-033-37780) КЛЕПАРОВ - НИКОЛАЕВ-ДН")</f>
        <v>2471 (37040-033-37780) КЛЕПАРОВ - НИКОЛАЕВ-ДН</v>
      </c>
      <c r="K285">
        <f ca="1">IFERROR(__xludf.DUMMYFUNCTION("""COMPUTED_VALUE"""),37760)</f>
        <v>37760</v>
      </c>
      <c r="L285" t="str">
        <f ca="1">IFERROR(__xludf.DUMMYFUNCTION("""COMPUTED_VALUE"""),"ДНЕСТРЯНСКАЯ")</f>
        <v>ДНЕСТРЯНСКАЯ</v>
      </c>
      <c r="M285" t="str">
        <f ca="1">IFERROR(__xludf.DUMMYFUNCTION("""COMPUTED_VALUE"""),"05.08.21 15-00")</f>
        <v>05.08.21 15-00</v>
      </c>
      <c r="N285" t="str">
        <f ca="1">IFERROR(__xludf.DUMMYFUNCTION("""COMPUTED_VALUE"""),"98 ОТОТ")</f>
        <v>98 ОТОТ</v>
      </c>
      <c r="O285">
        <f ca="1">IFERROR(__xludf.DUMMYFUNCTION("""COMPUTED_VALUE"""),37760)</f>
        <v>37760</v>
      </c>
      <c r="P285" t="str">
        <f ca="1">IFERROR(__xludf.DUMMYFUNCTION("""COMPUTED_VALUE"""),"ДНЕСТРЯНСКАЯ")</f>
        <v>ДНЕСТРЯНСКАЯ</v>
      </c>
      <c r="Q285">
        <f ca="1">IFERROR(__xludf.DUMMYFUNCTION("""COMPUTED_VALUE"""),32040)</f>
        <v>32040</v>
      </c>
      <c r="R285" t="str">
        <f ca="1">IFERROR(__xludf.DUMMYFUNCTION("""COMPUTED_VALUE"""),"ГРУШКИ")</f>
        <v>ГРУШКИ</v>
      </c>
      <c r="S285" t="str">
        <f ca="1">IFERROR(__xludf.DUMMYFUNCTION("""COMPUTED_VALUE"""),"29.07.21 08-00")</f>
        <v>29.07.21 08-00</v>
      </c>
      <c r="T285">
        <f ca="1">IFERROR(__xludf.DUMMYFUNCTION("""COMPUTED_VALUE"""),4456)</f>
        <v>4456</v>
      </c>
      <c r="U285" t="str">
        <f ca="1">IFERROR(__xludf.DUMMYFUNCTION("""COMPUTED_VALUE"""),"31.08.2021 ДР")</f>
        <v>31.08.2021 ДР</v>
      </c>
      <c r="AA285" t="str">
        <f ca="1">IFERROR(__xludf.DUMMYFUNCTION("""COMPUTED_VALUE"""),"11-217")</f>
        <v>11-217</v>
      </c>
      <c r="AB285" t="str">
        <f ca="1">IFERROR(__xludf.DUMMYFUNCTION("""COMPUTED_VALUE"""),"48 ДОН")</f>
        <v>48 ДОН</v>
      </c>
      <c r="AC285" t="str">
        <f ca="1">IFERROR(__xludf.DUMMYFUNCTION("""COMPUTED_VALUE"""),"49000 ЛИМАН")</f>
        <v>49000 ЛИМАН</v>
      </c>
      <c r="AD285" t="str">
        <f ca="1">IFERROR(__xludf.DUMMYFUNCTION("""COMPUTED_VALUE"""),"04.06.21 14-10")</f>
        <v>04.06.21 14-10</v>
      </c>
      <c r="AE285" t="str">
        <f ca="1">IFERROR(__xludf.DUMMYFUNCTION("""COMPUTED_VALUE"""),"621 ТPEЩИНА КOНЦEВЫX БAЛOК")</f>
        <v>621 ТPEЩИНА КOНЦEВЫX БAЛOК</v>
      </c>
      <c r="AF285" t="str">
        <f ca="1">IFERROR(__xludf.DUMMYFUNCTION("""COMPUTED_VALUE"""),"48 ДОН")</f>
        <v>48 ДОН</v>
      </c>
      <c r="AG285" t="str">
        <f ca="1">IFERROR(__xludf.DUMMYFUNCTION("""COMPUTED_VALUE"""),"49000 ЛИМАН")</f>
        <v>49000 ЛИМАН</v>
      </c>
      <c r="AH285" t="str">
        <f ca="1">IFERROR(__xludf.DUMMYFUNCTION("""COMPUTED_VALUE"""),"10.06.21 17-00")</f>
        <v>10.06.21 17-00</v>
      </c>
      <c r="AI285" s="21">
        <f ca="1">IFERROR(__xludf.DUMMYFUNCTION("""COMPUTED_VALUE"""),44420.3576851851)</f>
        <v>44420.357685185103</v>
      </c>
    </row>
    <row r="286" spans="1:35" ht="13" x14ac:dyDescent="0.15">
      <c r="A286">
        <f ca="1">IFERROR(__xludf.DUMMYFUNCTION("""COMPUTED_VALUE"""),1621)</f>
        <v>1621</v>
      </c>
      <c r="B286" t="str">
        <f ca="1">IFERROR(__xludf.DUMMYFUNCTION("""COMPUTED_VALUE"""),"ВИК")</f>
        <v>ВИК</v>
      </c>
      <c r="C286" t="str">
        <f ca="1">IFERROR(__xludf.DUMMYFUNCTION("""COMPUTED_VALUE"""),"ВИК")</f>
        <v>ВИК</v>
      </c>
      <c r="D286">
        <f ca="1">IFERROR(__xludf.DUMMYFUNCTION("""COMPUTED_VALUE"""),24041055)</f>
        <v>24041055</v>
      </c>
      <c r="E286" t="str">
        <f ca="1">IFERROR(__xludf.DUMMYFUNCTION("""COMPUTED_VALUE"""),"20 КРЫТЫЕ")</f>
        <v>20 КРЫТЫЕ</v>
      </c>
      <c r="F286">
        <f ca="1">IFERROR(__xludf.DUMMYFUNCTION("""COMPUTED_VALUE"""),42103)</f>
        <v>42103</v>
      </c>
      <c r="G286" t="str">
        <f ca="1">IFERROR(__xludf.DUMMYFUNCTION("""COMPUTED_VALUE"""),"ВАГОНЫ ЖД СВ")</f>
        <v>ВАГОНЫ ЖД СВ</v>
      </c>
      <c r="H286">
        <f ca="1">IFERROR(__xludf.DUMMYFUNCTION("""COMPUTED_VALUE"""),0)</f>
        <v>0</v>
      </c>
      <c r="I286">
        <f ca="1">IFERROR(__xludf.DUMMYFUNCTION("""COMPUTED_VALUE"""),4026)</f>
        <v>4026</v>
      </c>
      <c r="J286" t="str">
        <f ca="1">IFERROR(__xludf.DUMMYFUNCTION("""COMPUTED_VALUE"""),"3504 (48620-047-48630) ВОЛНОВАХА - ВЕЛИКО-АНАД")</f>
        <v>3504 (48620-047-48630) ВОЛНОВАХА - ВЕЛИКО-АНАД</v>
      </c>
      <c r="K286">
        <f ca="1">IFERROR(__xludf.DUMMYFUNCTION("""COMPUTED_VALUE"""),48630)</f>
        <v>48630</v>
      </c>
      <c r="L286" t="str">
        <f ca="1">IFERROR(__xludf.DUMMYFUNCTION("""COMPUTED_VALUE"""),"ВЕЛИКО-АНАД")</f>
        <v>ВЕЛИКО-АНАД</v>
      </c>
      <c r="M286" t="str">
        <f ca="1">IFERROR(__xludf.DUMMYFUNCTION("""COMPUTED_VALUE"""),"09.08.21 01-20")</f>
        <v>09.08.21 01-20</v>
      </c>
      <c r="N286" t="str">
        <f ca="1">IFERROR(__xludf.DUMMYFUNCTION("""COMPUTED_VALUE"""),"98 ОТОТ")</f>
        <v>98 ОТОТ</v>
      </c>
      <c r="O286">
        <f ca="1">IFERROR(__xludf.DUMMYFUNCTION("""COMPUTED_VALUE"""),48630)</f>
        <v>48630</v>
      </c>
      <c r="P286" t="str">
        <f ca="1">IFERROR(__xludf.DUMMYFUNCTION("""COMPUTED_VALUE"""),"ВЕЛИКО-АНАД")</f>
        <v>ВЕЛИКО-АНАД</v>
      </c>
      <c r="Q286">
        <f ca="1">IFERROR(__xludf.DUMMYFUNCTION("""COMPUTED_VALUE"""),35780)</f>
        <v>35780</v>
      </c>
      <c r="R286" t="str">
        <f ca="1">IFERROR(__xludf.DUMMYFUNCTION("""COMPUTED_VALUE"""),"ЛУЦК")</f>
        <v>ЛУЦК</v>
      </c>
      <c r="S286" t="str">
        <f ca="1">IFERROR(__xludf.DUMMYFUNCTION("""COMPUTED_VALUE"""),"24.07.21 19-30")</f>
        <v>24.07.21 19-30</v>
      </c>
      <c r="T286">
        <f ca="1">IFERROR(__xludf.DUMMYFUNCTION("""COMPUTED_VALUE"""),4456)</f>
        <v>4456</v>
      </c>
      <c r="U286" t="str">
        <f ca="1">IFERROR(__xludf.DUMMYFUNCTION("""COMPUTED_VALUE"""),"06.06.2022 ДР")</f>
        <v>06.06.2022 ДР</v>
      </c>
      <c r="AA286" t="str">
        <f ca="1">IFERROR(__xludf.DUMMYFUNCTION("""COMPUTED_VALUE"""),"11-217")</f>
        <v>11-217</v>
      </c>
      <c r="AB286" t="str">
        <f ca="1">IFERROR(__xludf.DUMMYFUNCTION("""COMPUTED_VALUE"""),"32 Ю-ЗАП")</f>
        <v>32 Ю-ЗАП</v>
      </c>
      <c r="AC286" t="str">
        <f ca="1">IFERROR(__xludf.DUMMYFUNCTION("""COMPUTED_VALUE"""),"33000 ЖМЕРИНКА")</f>
        <v>33000 ЖМЕРИНКА</v>
      </c>
      <c r="AD286" t="str">
        <f ca="1">IFERROR(__xludf.DUMMYFUNCTION("""COMPUTED_VALUE"""),"20.02.20 00-01")</f>
        <v>20.02.20 00-01</v>
      </c>
      <c r="AE286" t="str">
        <f ca="1">IFERROR(__xludf.DUMMYFUNCTION("""COMPUTED_VALUE"""),"537 НEИCПPAВНOCТЬ ЗAПOPA ДВEPИ")</f>
        <v>537 НEИCПPAВНOCТЬ ЗAПOPA ДВEPИ</v>
      </c>
      <c r="AF286" t="str">
        <f ca="1">IFERROR(__xludf.DUMMYFUNCTION("""COMPUTED_VALUE"""),"32 Ю-ЗАП")</f>
        <v>32 Ю-ЗАП</v>
      </c>
      <c r="AG286" t="str">
        <f ca="1">IFERROR(__xludf.DUMMYFUNCTION("""COMPUTED_VALUE"""),"33000 ЖМЕРИНКА")</f>
        <v>33000 ЖМЕРИНКА</v>
      </c>
      <c r="AH286" t="str">
        <f ca="1">IFERROR(__xludf.DUMMYFUNCTION("""COMPUTED_VALUE"""),"22.02.20 11-30")</f>
        <v>22.02.20 11-30</v>
      </c>
      <c r="AI286" s="21">
        <f ca="1">IFERROR(__xludf.DUMMYFUNCTION("""COMPUTED_VALUE"""),44420.3576851851)</f>
        <v>44420.357685185103</v>
      </c>
    </row>
    <row r="287" spans="1:35" ht="13" x14ac:dyDescent="0.15">
      <c r="A287">
        <f ca="1">IFERROR(__xludf.DUMMYFUNCTION("""COMPUTED_VALUE"""),1622)</f>
        <v>1622</v>
      </c>
      <c r="B287" t="str">
        <f ca="1">IFERROR(__xludf.DUMMYFUNCTION("""COMPUTED_VALUE"""),"ВИК")</f>
        <v>ВИК</v>
      </c>
      <c r="C287" t="str">
        <f ca="1">IFERROR(__xludf.DUMMYFUNCTION("""COMPUTED_VALUE"""),"ВИК")</f>
        <v>ВИК</v>
      </c>
      <c r="D287">
        <f ca="1">IFERROR(__xludf.DUMMYFUNCTION("""COMPUTED_VALUE"""),24041329)</f>
        <v>24041329</v>
      </c>
      <c r="E287" t="str">
        <f ca="1">IFERROR(__xludf.DUMMYFUNCTION("""COMPUTED_VALUE"""),"20 КРЫТЫЕ")</f>
        <v>20 КРЫТЫЕ</v>
      </c>
      <c r="F287">
        <f ca="1">IFERROR(__xludf.DUMMYFUNCTION("""COMPUTED_VALUE"""),42103)</f>
        <v>42103</v>
      </c>
      <c r="G287" t="str">
        <f ca="1">IFERROR(__xludf.DUMMYFUNCTION("""COMPUTED_VALUE"""),"ВАГОНЫ ЖД СВ")</f>
        <v>ВАГОНЫ ЖД СВ</v>
      </c>
      <c r="H287">
        <f ca="1">IFERROR(__xludf.DUMMYFUNCTION("""COMPUTED_VALUE"""),0)</f>
        <v>0</v>
      </c>
      <c r="I287">
        <f ca="1">IFERROR(__xludf.DUMMYFUNCTION("""COMPUTED_VALUE"""),4714)</f>
        <v>4714</v>
      </c>
      <c r="J287" t="str">
        <f ca="1">IFERROR(__xludf.DUMMYFUNCTION("""COMPUTED_VALUE"""),"3574 (49460-087-49000) БАХМУТ - ЛИМАН")</f>
        <v>3574 (49460-087-49000) БАХМУТ - ЛИМАН</v>
      </c>
      <c r="K287">
        <f ca="1">IFERROR(__xludf.DUMMYFUNCTION("""COMPUTED_VALUE"""),49480)</f>
        <v>49480</v>
      </c>
      <c r="L287" t="str">
        <f ca="1">IFERROR(__xludf.DUMMYFUNCTION("""COMPUTED_VALUE"""),"СОЛЬ")</f>
        <v>СОЛЬ</v>
      </c>
      <c r="M287" t="str">
        <f ca="1">IFERROR(__xludf.DUMMYFUNCTION("""COMPUTED_VALUE"""),"29.07.21 12-05")</f>
        <v>29.07.21 12-05</v>
      </c>
      <c r="N287" t="str">
        <f ca="1">IFERROR(__xludf.DUMMYFUNCTION("""COMPUTED_VALUE"""),"98 ОТОТ")</f>
        <v>98 ОТОТ</v>
      </c>
      <c r="O287">
        <f ca="1">IFERROR(__xludf.DUMMYFUNCTION("""COMPUTED_VALUE"""),49480)</f>
        <v>49480</v>
      </c>
      <c r="P287" t="str">
        <f ca="1">IFERROR(__xludf.DUMMYFUNCTION("""COMPUTED_VALUE"""),"СОЛЬ")</f>
        <v>СОЛЬ</v>
      </c>
      <c r="Q287">
        <f ca="1">IFERROR(__xludf.DUMMYFUNCTION("""COMPUTED_VALUE"""),32040)</f>
        <v>32040</v>
      </c>
      <c r="R287" t="str">
        <f ca="1">IFERROR(__xludf.DUMMYFUNCTION("""COMPUTED_VALUE"""),"ГРУШКИ")</f>
        <v>ГРУШКИ</v>
      </c>
      <c r="S287" t="str">
        <f ca="1">IFERROR(__xludf.DUMMYFUNCTION("""COMPUTED_VALUE"""),"19.07.21 11-00")</f>
        <v>19.07.21 11-00</v>
      </c>
      <c r="T287">
        <f ca="1">IFERROR(__xludf.DUMMYFUNCTION("""COMPUTED_VALUE"""),4456)</f>
        <v>4456</v>
      </c>
      <c r="U287" t="str">
        <f ca="1">IFERROR(__xludf.DUMMYFUNCTION("""COMPUTED_VALUE"""),"30.09.2022 ТР-1")</f>
        <v>30.09.2022 ТР-1</v>
      </c>
      <c r="AA287" t="str">
        <f ca="1">IFERROR(__xludf.DUMMYFUNCTION("""COMPUTED_VALUE"""),"11-217")</f>
        <v>11-217</v>
      </c>
      <c r="AB287" t="str">
        <f ca="1">IFERROR(__xludf.DUMMYFUNCTION("""COMPUTED_VALUE"""),"40 ОД")</f>
        <v>40 ОД</v>
      </c>
      <c r="AC287" t="str">
        <f ca="1">IFERROR(__xludf.DUMMYFUNCTION("""COMPUTED_VALUE"""),"41190 ПОМОШНАЯ")</f>
        <v>41190 ПОМОШНАЯ</v>
      </c>
      <c r="AD287" t="str">
        <f ca="1">IFERROR(__xludf.DUMMYFUNCTION("""COMPUTED_VALUE"""),"15.09.20 08-00")</f>
        <v>15.09.20 08-00</v>
      </c>
      <c r="AE287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287" t="str">
        <f ca="1">IFERROR(__xludf.DUMMYFUNCTION("""COMPUTED_VALUE"""),"40 ОД")</f>
        <v>40 ОД</v>
      </c>
      <c r="AG287" t="str">
        <f ca="1">IFERROR(__xludf.DUMMYFUNCTION("""COMPUTED_VALUE"""),"41190 ПОМОШНАЯ")</f>
        <v>41190 ПОМОШНАЯ</v>
      </c>
      <c r="AH287" t="str">
        <f ca="1">IFERROR(__xludf.DUMMYFUNCTION("""COMPUTED_VALUE"""),"06.10.20 18-00")</f>
        <v>06.10.20 18-00</v>
      </c>
      <c r="AI287" s="21">
        <f ca="1">IFERROR(__xludf.DUMMYFUNCTION("""COMPUTED_VALUE"""),44420.3576851851)</f>
        <v>44420.357685185103</v>
      </c>
    </row>
    <row r="288" spans="1:35" ht="13" x14ac:dyDescent="0.15">
      <c r="A288">
        <f ca="1">IFERROR(__xludf.DUMMYFUNCTION("""COMPUTED_VALUE"""),1623)</f>
        <v>1623</v>
      </c>
      <c r="B288" t="str">
        <f ca="1">IFERROR(__xludf.DUMMYFUNCTION("""COMPUTED_VALUE"""),"ВИК")</f>
        <v>ВИК</v>
      </c>
      <c r="C288" t="str">
        <f ca="1">IFERROR(__xludf.DUMMYFUNCTION("""COMPUTED_VALUE"""),"ВИК")</f>
        <v>ВИК</v>
      </c>
      <c r="D288">
        <f ca="1">IFERROR(__xludf.DUMMYFUNCTION("""COMPUTED_VALUE"""),24041808)</f>
        <v>24041808</v>
      </c>
      <c r="E288" t="str">
        <f ca="1">IFERROR(__xludf.DUMMYFUNCTION("""COMPUTED_VALUE"""),"20 КРЫТЫЕ")</f>
        <v>20 КРЫТЫЕ</v>
      </c>
      <c r="F288">
        <f ca="1">IFERROR(__xludf.DUMMYFUNCTION("""COMPUTED_VALUE"""),42103)</f>
        <v>42103</v>
      </c>
      <c r="G288" t="str">
        <f ca="1">IFERROR(__xludf.DUMMYFUNCTION("""COMPUTED_VALUE"""),"ВАГОНЫ ЖД СВ")</f>
        <v>ВАГОНЫ ЖД СВ</v>
      </c>
      <c r="H288">
        <f ca="1">IFERROR(__xludf.DUMMYFUNCTION("""COMPUTED_VALUE"""),0)</f>
        <v>0</v>
      </c>
      <c r="I288">
        <f ca="1">IFERROR(__xludf.DUMMYFUNCTION("""COMPUTED_VALUE"""),4149)</f>
        <v>4149</v>
      </c>
      <c r="J288" t="str">
        <f ca="1">IFERROR(__xludf.DUMMYFUNCTION("""COMPUTED_VALUE"""),"3488 (42830-099-44870) ГРЕБЕНКА - ПОЛТАВА-ЮЖН")</f>
        <v>3488 (42830-099-44870) ГРЕБЕНКА - ПОЛТАВА-ЮЖН</v>
      </c>
      <c r="K288">
        <f ca="1">IFERROR(__xludf.DUMMYFUNCTION("""COMPUTED_VALUE"""),44850)</f>
        <v>44850</v>
      </c>
      <c r="L288" t="str">
        <f ca="1">IFERROR(__xludf.DUMMYFUNCTION("""COMPUTED_VALUE"""),"ПОЛТАВА-КИЕВ")</f>
        <v>ПОЛТАВА-КИЕВ</v>
      </c>
      <c r="M288" t="str">
        <f ca="1">IFERROR(__xludf.DUMMYFUNCTION("""COMPUTED_VALUE"""),"12.08.21 05-43")</f>
        <v>12.08.21 05-43</v>
      </c>
      <c r="N288" t="str">
        <f ca="1">IFERROR(__xludf.DUMMYFUNCTION("""COMPUTED_VALUE"""),"01 ПРИБ")</f>
        <v>01 ПРИБ</v>
      </c>
      <c r="O288">
        <f ca="1">IFERROR(__xludf.DUMMYFUNCTION("""COMPUTED_VALUE"""),49620)</f>
        <v>49620</v>
      </c>
      <c r="P288" t="str">
        <f ca="1">IFERROR(__xludf.DUMMYFUNCTION("""COMPUTED_VALUE"""),"ДЕКОНСКАЯ")</f>
        <v>ДЕКОНСКАЯ</v>
      </c>
      <c r="Q288">
        <f ca="1">IFERROR(__xludf.DUMMYFUNCTION("""COMPUTED_VALUE"""),32040)</f>
        <v>32040</v>
      </c>
      <c r="R288" t="str">
        <f ca="1">IFERROR(__xludf.DUMMYFUNCTION("""COMPUTED_VALUE"""),"ГРУШКИ")</f>
        <v>ГРУШКИ</v>
      </c>
      <c r="S288" t="str">
        <f ca="1">IFERROR(__xludf.DUMMYFUNCTION("""COMPUTED_VALUE"""),"03.08.21 16-25")</f>
        <v>03.08.21 16-25</v>
      </c>
      <c r="T288">
        <f ca="1">IFERROR(__xludf.DUMMYFUNCTION("""COMPUTED_VALUE"""),4456)</f>
        <v>4456</v>
      </c>
      <c r="U288" t="str">
        <f ca="1">IFERROR(__xludf.DUMMYFUNCTION("""COMPUTED_VALUE"""),"13.09.2021 КР")</f>
        <v>13.09.2021 КР</v>
      </c>
      <c r="AA288" t="str">
        <f ca="1">IFERROR(__xludf.DUMMYFUNCTION("""COMPUTED_VALUE"""),"11-217")</f>
        <v>11-217</v>
      </c>
      <c r="AB288" t="str">
        <f ca="1">IFERROR(__xludf.DUMMYFUNCTION("""COMPUTED_VALUE"""),"40 ОД")</f>
        <v>40 ОД</v>
      </c>
      <c r="AC288" t="str">
        <f ca="1">IFERROR(__xludf.DUMMYFUNCTION("""COMPUTED_VALUE"""),"41190 ПОМОШНАЯ")</f>
        <v>41190 ПОМОШНАЯ</v>
      </c>
      <c r="AD288" t="str">
        <f ca="1">IFERROR(__xludf.DUMMYFUNCTION("""COMPUTED_VALUE"""),"05.09.20 10-00")</f>
        <v>05.09.20 10-00</v>
      </c>
      <c r="AE288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288" t="str">
        <f ca="1">IFERROR(__xludf.DUMMYFUNCTION("""COMPUTED_VALUE"""),"40 ОД")</f>
        <v>40 ОД</v>
      </c>
      <c r="AG288" t="str">
        <f ca="1">IFERROR(__xludf.DUMMYFUNCTION("""COMPUTED_VALUE"""),"41190 ПОМОШНАЯ")</f>
        <v>41190 ПОМОШНАЯ</v>
      </c>
      <c r="AH288" t="str">
        <f ca="1">IFERROR(__xludf.DUMMYFUNCTION("""COMPUTED_VALUE"""),"13.09.20 17-30")</f>
        <v>13.09.20 17-30</v>
      </c>
      <c r="AI288" s="21">
        <f ca="1">IFERROR(__xludf.DUMMYFUNCTION("""COMPUTED_VALUE"""),44420.3576851851)</f>
        <v>44420.357685185103</v>
      </c>
    </row>
    <row r="289" spans="1:35" ht="13" x14ac:dyDescent="0.15">
      <c r="A289">
        <f ca="1">IFERROR(__xludf.DUMMYFUNCTION("""COMPUTED_VALUE"""),1624)</f>
        <v>1624</v>
      </c>
      <c r="B289" t="str">
        <f ca="1">IFERROR(__xludf.DUMMYFUNCTION("""COMPUTED_VALUE"""),"ВИК")</f>
        <v>ВИК</v>
      </c>
      <c r="C289" t="str">
        <f ca="1">IFERROR(__xludf.DUMMYFUNCTION("""COMPUTED_VALUE"""),"ВИК")</f>
        <v>ВИК</v>
      </c>
      <c r="D289">
        <f ca="1">IFERROR(__xludf.DUMMYFUNCTION("""COMPUTED_VALUE"""),24042251)</f>
        <v>24042251</v>
      </c>
      <c r="E289" t="str">
        <f ca="1">IFERROR(__xludf.DUMMYFUNCTION("""COMPUTED_VALUE"""),"20 КРЫТЫЕ")</f>
        <v>20 КРЫТЫЕ</v>
      </c>
      <c r="F289">
        <f ca="1">IFERROR(__xludf.DUMMYFUNCTION("""COMPUTED_VALUE"""),23304)</f>
        <v>23304</v>
      </c>
      <c r="G289" t="str">
        <f ca="1">IFERROR(__xludf.DUMMYFUNCTION("""COMPUTED_VALUE"""),"ГИПС ПР")</f>
        <v>ГИПС ПР</v>
      </c>
      <c r="H289">
        <f ca="1">IFERROR(__xludf.DUMMYFUNCTION("""COMPUTED_VALUE"""),67)</f>
        <v>67</v>
      </c>
      <c r="I289">
        <f ca="1">IFERROR(__xludf.DUMMYFUNCTION("""COMPUTED_VALUE"""),3314)</f>
        <v>3314</v>
      </c>
      <c r="J289" t="str">
        <f ca="1">IFERROR(__xludf.DUMMYFUNCTION("""COMPUTED_VALUE"""),"2727 (44020-209-32000) ОСНОВА - ДАРНИЦА")</f>
        <v>2727 (44020-209-32000) ОСНОВА - ДАРНИЦА</v>
      </c>
      <c r="K289">
        <f ca="1">IFERROR(__xludf.DUMMYFUNCTION("""COMPUTED_VALUE"""),32250)</f>
        <v>32250</v>
      </c>
      <c r="L289" t="str">
        <f ca="1">IFERROR(__xludf.DUMMYFUNCTION("""COMPUTED_VALUE"""),"ИМ.Г.КИРПЫ")</f>
        <v>ИМ.Г.КИРПЫ</v>
      </c>
      <c r="M289" t="str">
        <f ca="1">IFERROR(__xludf.DUMMYFUNCTION("""COMPUTED_VALUE"""),"11.08.21 15-01")</f>
        <v>11.08.21 15-01</v>
      </c>
      <c r="N289" t="str">
        <f ca="1">IFERROR(__xludf.DUMMYFUNCTION("""COMPUTED_VALUE"""),"01 ПРИБ")</f>
        <v>01 ПРИБ</v>
      </c>
      <c r="O289">
        <f ca="1">IFERROR(__xludf.DUMMYFUNCTION("""COMPUTED_VALUE"""),32040)</f>
        <v>32040</v>
      </c>
      <c r="P289" t="str">
        <f ca="1">IFERROR(__xludf.DUMMYFUNCTION("""COMPUTED_VALUE"""),"ГРУШКИ")</f>
        <v>ГРУШКИ</v>
      </c>
      <c r="Q289">
        <f ca="1">IFERROR(__xludf.DUMMYFUNCTION("""COMPUTED_VALUE"""),49620)</f>
        <v>49620</v>
      </c>
      <c r="R289" t="str">
        <f ca="1">IFERROR(__xludf.DUMMYFUNCTION("""COMPUTED_VALUE"""),"ДЕКОНСКАЯ")</f>
        <v>ДЕКОНСКАЯ</v>
      </c>
      <c r="S289" t="str">
        <f ca="1">IFERROR(__xludf.DUMMYFUNCTION("""COMPUTED_VALUE"""),"07.08.21 21-30")</f>
        <v>07.08.21 21-30</v>
      </c>
      <c r="T289">
        <f ca="1">IFERROR(__xludf.DUMMYFUNCTION("""COMPUTED_VALUE"""),4149)</f>
        <v>4149</v>
      </c>
      <c r="U289" t="str">
        <f ca="1">IFERROR(__xludf.DUMMYFUNCTION("""COMPUTED_VALUE"""),"23.04.2022 ДР")</f>
        <v>23.04.2022 ДР</v>
      </c>
      <c r="AA289" t="str">
        <f ca="1">IFERROR(__xludf.DUMMYFUNCTION("""COMPUTED_VALUE"""),"11-217")</f>
        <v>11-217</v>
      </c>
      <c r="AB289" t="str">
        <f ca="1">IFERROR(__xludf.DUMMYFUNCTION("""COMPUTED_VALUE"""),"35 ЛЬВ")</f>
        <v>35 ЛЬВ</v>
      </c>
      <c r="AC289" t="str">
        <f ca="1">IFERROR(__xludf.DUMMYFUNCTION("""COMPUTED_VALUE"""),"35250 ИЗОВ")</f>
        <v>35250 ИЗОВ</v>
      </c>
      <c r="AD289" t="str">
        <f ca="1">IFERROR(__xludf.DUMMYFUNCTION("""COMPUTED_VALUE"""),"07.04.21 11-41")</f>
        <v>07.04.21 11-41</v>
      </c>
      <c r="AE289" t="str">
        <f ca="1">IFERROR(__xludf.DUMMYFUNCTION("""COMPUTED_VALUE"""),"537 НEИCПPAВНOCТЬ ЗAПOPA ДВEPИ")</f>
        <v>537 НEИCПPAВНOCТЬ ЗAПOPA ДВEPИ</v>
      </c>
      <c r="AF289" t="str">
        <f ca="1">IFERROR(__xludf.DUMMYFUNCTION("""COMPUTED_VALUE"""),"35 ЛЬВ")</f>
        <v>35 ЛЬВ</v>
      </c>
      <c r="AG289" t="str">
        <f ca="1">IFERROR(__xludf.DUMMYFUNCTION("""COMPUTED_VALUE"""),"35250 ИЗОВ")</f>
        <v>35250 ИЗОВ</v>
      </c>
      <c r="AH289" t="str">
        <f ca="1">IFERROR(__xludf.DUMMYFUNCTION("""COMPUTED_VALUE"""),"11.04.21 11-10")</f>
        <v>11.04.21 11-10</v>
      </c>
      <c r="AI289" s="21">
        <f ca="1">IFERROR(__xludf.DUMMYFUNCTION("""COMPUTED_VALUE"""),44420.3576851851)</f>
        <v>44420.357685185103</v>
      </c>
    </row>
    <row r="290" spans="1:35" ht="13" x14ac:dyDescent="0.15">
      <c r="A290">
        <f ca="1">IFERROR(__xludf.DUMMYFUNCTION("""COMPUTED_VALUE"""),1625)</f>
        <v>1625</v>
      </c>
      <c r="B290" t="str">
        <f ca="1">IFERROR(__xludf.DUMMYFUNCTION("""COMPUTED_VALUE"""),"ВИК")</f>
        <v>ВИК</v>
      </c>
      <c r="C290" t="str">
        <f ca="1">IFERROR(__xludf.DUMMYFUNCTION("""COMPUTED_VALUE"""),"ВИК")</f>
        <v>ВИК</v>
      </c>
      <c r="D290">
        <f ca="1">IFERROR(__xludf.DUMMYFUNCTION("""COMPUTED_VALUE"""),24042376)</f>
        <v>24042376</v>
      </c>
      <c r="E290" t="str">
        <f ca="1">IFERROR(__xludf.DUMMYFUNCTION("""COMPUTED_VALUE"""),"20 КРЫТЫЕ")</f>
        <v>20 КРЫТЫЕ</v>
      </c>
      <c r="F290">
        <f ca="1">IFERROR(__xludf.DUMMYFUNCTION("""COMPUTED_VALUE"""),23304)</f>
        <v>23304</v>
      </c>
      <c r="G290" t="str">
        <f ca="1">IFERROR(__xludf.DUMMYFUNCTION("""COMPUTED_VALUE"""),"ГИПС ПР")</f>
        <v>ГИПС ПР</v>
      </c>
      <c r="H290">
        <f ca="1">IFERROR(__xludf.DUMMYFUNCTION("""COMPUTED_VALUE"""),68)</f>
        <v>68</v>
      </c>
      <c r="I290">
        <f ca="1">IFERROR(__xludf.DUMMYFUNCTION("""COMPUTED_VALUE"""),3314)</f>
        <v>3314</v>
      </c>
      <c r="J290" t="str">
        <f ca="1">IFERROR(__xludf.DUMMYFUNCTION("""COMPUTED_VALUE"""),"2179 (44020-249-32000) ОСНОВА - ДАРНИЦА")</f>
        <v>2179 (44020-249-32000) ОСНОВА - ДАРНИЦА</v>
      </c>
      <c r="K290">
        <f ca="1">IFERROR(__xludf.DUMMYFUNCTION("""COMPUTED_VALUE"""),44870)</f>
        <v>44870</v>
      </c>
      <c r="L290" t="str">
        <f ca="1">IFERROR(__xludf.DUMMYFUNCTION("""COMPUTED_VALUE"""),"ПОЛТАВА-ЮЖН")</f>
        <v>ПОЛТАВА-ЮЖН</v>
      </c>
      <c r="M290" t="str">
        <f ca="1">IFERROR(__xludf.DUMMYFUNCTION("""COMPUTED_VALUE"""),"11.08.21 16-35")</f>
        <v>11.08.21 16-35</v>
      </c>
      <c r="N290" t="str">
        <f ca="1">IFERROR(__xludf.DUMMYFUNCTION("""COMPUTED_VALUE"""),"51 ПРИБ")</f>
        <v>51 ПРИБ</v>
      </c>
      <c r="O290">
        <f ca="1">IFERROR(__xludf.DUMMYFUNCTION("""COMPUTED_VALUE"""),32040)</f>
        <v>32040</v>
      </c>
      <c r="P290" t="str">
        <f ca="1">IFERROR(__xludf.DUMMYFUNCTION("""COMPUTED_VALUE"""),"ГРУШКИ")</f>
        <v>ГРУШКИ</v>
      </c>
      <c r="Q290">
        <f ca="1">IFERROR(__xludf.DUMMYFUNCTION("""COMPUTED_VALUE"""),49620)</f>
        <v>49620</v>
      </c>
      <c r="R290" t="str">
        <f ca="1">IFERROR(__xludf.DUMMYFUNCTION("""COMPUTED_VALUE"""),"ДЕКОНСКАЯ")</f>
        <v>ДЕКОНСКАЯ</v>
      </c>
      <c r="S290" t="str">
        <f ca="1">IFERROR(__xludf.DUMMYFUNCTION("""COMPUTED_VALUE"""),"09.08.21 11-40")</f>
        <v>09.08.21 11-40</v>
      </c>
      <c r="T290">
        <f ca="1">IFERROR(__xludf.DUMMYFUNCTION("""COMPUTED_VALUE"""),4149)</f>
        <v>4149</v>
      </c>
      <c r="U290" t="str">
        <f ca="1">IFERROR(__xludf.DUMMYFUNCTION("""COMPUTED_VALUE"""),"23.04.2022 ДР")</f>
        <v>23.04.2022 ДР</v>
      </c>
      <c r="AA290" t="str">
        <f ca="1">IFERROR(__xludf.DUMMYFUNCTION("""COMPUTED_VALUE"""),"11-217")</f>
        <v>11-217</v>
      </c>
      <c r="AB290" t="str">
        <f ca="1">IFERROR(__xludf.DUMMYFUNCTION("""COMPUTED_VALUE"""),"40 ОД")</f>
        <v>40 ОД</v>
      </c>
      <c r="AC290" t="str">
        <f ca="1">IFERROR(__xludf.DUMMYFUNCTION("""COMPUTED_VALUE"""),"42000 ИМ.Т.ШЕВЧЕНК")</f>
        <v>42000 ИМ.Т.ШЕВЧЕНК</v>
      </c>
      <c r="AD290" t="str">
        <f ca="1">IFERROR(__xludf.DUMMYFUNCTION("""COMPUTED_VALUE"""),"29.03.19 16-00")</f>
        <v>29.03.19 16-00</v>
      </c>
      <c r="AE290" t="str">
        <f ca="1">IFERROR(__xludf.DUMMYFUNCTION("""COMPUTED_VALUE"""),"571 ИCТEК КAЛЕНДАРНЫЙ CPOК КAПИТAЛЬНОГО PEМOНТA")</f>
        <v>571 ИCТEК КAЛЕНДАРНЫЙ CPOК КAПИТAЛЬНОГО PEМOНТA</v>
      </c>
      <c r="AF290" t="str">
        <f ca="1">IFERROR(__xludf.DUMMYFUNCTION("""COMPUTED_VALUE"""),"40 ОД")</f>
        <v>40 ОД</v>
      </c>
      <c r="AG290" t="str">
        <f ca="1">IFERROR(__xludf.DUMMYFUNCTION("""COMPUTED_VALUE"""),"42000 ИМ.Т.ШЕВЧЕНК")</f>
        <v>42000 ИМ.Т.ШЕВЧЕНК</v>
      </c>
      <c r="AH290" t="str">
        <f ca="1">IFERROR(__xludf.DUMMYFUNCTION("""COMPUTED_VALUE"""),"23.04.19 15-00")</f>
        <v>23.04.19 15-00</v>
      </c>
      <c r="AI290" s="21">
        <f ca="1">IFERROR(__xludf.DUMMYFUNCTION("""COMPUTED_VALUE"""),44420.3576851851)</f>
        <v>44420.357685185103</v>
      </c>
    </row>
    <row r="291" spans="1:35" ht="13" x14ac:dyDescent="0.15">
      <c r="A291">
        <f ca="1">IFERROR(__xludf.DUMMYFUNCTION("""COMPUTED_VALUE"""),1626)</f>
        <v>1626</v>
      </c>
      <c r="B291" t="str">
        <f ca="1">IFERROR(__xludf.DUMMYFUNCTION("""COMPUTED_VALUE"""),"ВИК")</f>
        <v>ВИК</v>
      </c>
      <c r="C291" t="str">
        <f ca="1">IFERROR(__xludf.DUMMYFUNCTION("""COMPUTED_VALUE"""),"ВИК")</f>
        <v>ВИК</v>
      </c>
      <c r="D291">
        <f ca="1">IFERROR(__xludf.DUMMYFUNCTION("""COMPUTED_VALUE"""),24045924)</f>
        <v>24045924</v>
      </c>
      <c r="E291" t="str">
        <f ca="1">IFERROR(__xludf.DUMMYFUNCTION("""COMPUTED_VALUE"""),"20 КРЫТЫЕ")</f>
        <v>20 КРЫТЫЕ</v>
      </c>
      <c r="F291">
        <f ca="1">IFERROR(__xludf.DUMMYFUNCTION("""COMPUTED_VALUE"""),42103)</f>
        <v>42103</v>
      </c>
      <c r="G291" t="str">
        <f ca="1">IFERROR(__xludf.DUMMYFUNCTION("""COMPUTED_VALUE"""),"ВАГОНЫ ЖД СВ")</f>
        <v>ВАГОНЫ ЖД СВ</v>
      </c>
      <c r="H291">
        <f ca="1">IFERROR(__xludf.DUMMYFUNCTION("""COMPUTED_VALUE"""),0)</f>
        <v>0</v>
      </c>
      <c r="I291">
        <f ca="1">IFERROR(__xludf.DUMMYFUNCTION("""COMPUTED_VALUE"""),4456)</f>
        <v>4456</v>
      </c>
      <c r="K291">
        <f ca="1">IFERROR(__xludf.DUMMYFUNCTION("""COMPUTED_VALUE"""),46350)</f>
        <v>46350</v>
      </c>
      <c r="L291" t="str">
        <f ca="1">IFERROR(__xludf.DUMMYFUNCTION("""COMPUTED_VALUE"""),"ПЕРЕДАТОЧНАЯ")</f>
        <v>ПЕРЕДАТОЧНАЯ</v>
      </c>
      <c r="M291" t="str">
        <f ca="1">IFERROR(__xludf.DUMMYFUNCTION("""COMPUTED_VALUE"""),"23.07.21 21-30")</f>
        <v>23.07.21 21-30</v>
      </c>
      <c r="N291" t="str">
        <f ca="1">IFERROR(__xludf.DUMMYFUNCTION("""COMPUTED_VALUE"""),"98 ОТОТ")</f>
        <v>98 ОТОТ</v>
      </c>
      <c r="O291">
        <f ca="1">IFERROR(__xludf.DUMMYFUNCTION("""COMPUTED_VALUE"""),46350)</f>
        <v>46350</v>
      </c>
      <c r="P291" t="str">
        <f ca="1">IFERROR(__xludf.DUMMYFUNCTION("""COMPUTED_VALUE"""),"ПЕРЕДАТОЧНАЯ")</f>
        <v>ПЕРЕДАТОЧНАЯ</v>
      </c>
      <c r="Q291">
        <f ca="1">IFERROR(__xludf.DUMMYFUNCTION("""COMPUTED_VALUE"""),32210)</f>
        <v>32210</v>
      </c>
      <c r="R291" t="str">
        <f ca="1">IFERROR(__xludf.DUMMYFUNCTION("""COMPUTED_VALUE"""),"БУЧА")</f>
        <v>БУЧА</v>
      </c>
      <c r="S291" t="str">
        <f ca="1">IFERROR(__xludf.DUMMYFUNCTION("""COMPUTED_VALUE"""),"22.06.21 14-00")</f>
        <v>22.06.21 14-00</v>
      </c>
      <c r="T291">
        <f ca="1">IFERROR(__xludf.DUMMYFUNCTION("""COMPUTED_VALUE"""),4456)</f>
        <v>4456</v>
      </c>
      <c r="U291" t="str">
        <f ca="1">IFERROR(__xludf.DUMMYFUNCTION("""COMPUTED_VALUE"""),"23.09.2021 ДР")</f>
        <v>23.09.2021 ДР</v>
      </c>
      <c r="AA291" t="str">
        <f ca="1">IFERROR(__xludf.DUMMYFUNCTION("""COMPUTED_VALUE"""),"11-217")</f>
        <v>11-217</v>
      </c>
      <c r="AB291" t="str">
        <f ca="1">IFERROR(__xludf.DUMMYFUNCTION("""COMPUTED_VALUE"""),"40 ОД")</f>
        <v>40 ОД</v>
      </c>
      <c r="AC291" t="str">
        <f ca="1">IFERROR(__xludf.DUMMYFUNCTION("""COMPUTED_VALUE"""),"41190 ПОМОШНАЯ")</f>
        <v>41190 ПОМОШНАЯ</v>
      </c>
      <c r="AD291" t="str">
        <f ca="1">IFERROR(__xludf.DUMMYFUNCTION("""COMPUTED_VALUE"""),"20.09.20 10-30")</f>
        <v>20.09.20 10-30</v>
      </c>
      <c r="AE291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291" t="str">
        <f ca="1">IFERROR(__xludf.DUMMYFUNCTION("""COMPUTED_VALUE"""),"40 ОД")</f>
        <v>40 ОД</v>
      </c>
      <c r="AG291" t="str">
        <f ca="1">IFERROR(__xludf.DUMMYFUNCTION("""COMPUTED_VALUE"""),"41190 ПОМОШНАЯ")</f>
        <v>41190 ПОМОШНАЯ</v>
      </c>
      <c r="AH291" t="str">
        <f ca="1">IFERROR(__xludf.DUMMYFUNCTION("""COMPUTED_VALUE"""),"23.09.20 17-30")</f>
        <v>23.09.20 17-30</v>
      </c>
      <c r="AI291" s="21">
        <f ca="1">IFERROR(__xludf.DUMMYFUNCTION("""COMPUTED_VALUE"""),44420.3576851851)</f>
        <v>44420.357685185103</v>
      </c>
    </row>
    <row r="292" spans="1:35" ht="13" x14ac:dyDescent="0.15">
      <c r="A292">
        <f ca="1">IFERROR(__xludf.DUMMYFUNCTION("""COMPUTED_VALUE"""),1627)</f>
        <v>1627</v>
      </c>
      <c r="B292" t="str">
        <f ca="1">IFERROR(__xludf.DUMMYFUNCTION("""COMPUTED_VALUE"""),"ВИК")</f>
        <v>ВИК</v>
      </c>
      <c r="C292" t="str">
        <f ca="1">IFERROR(__xludf.DUMMYFUNCTION("""COMPUTED_VALUE"""),"ВИК")</f>
        <v>ВИК</v>
      </c>
      <c r="D292">
        <f ca="1">IFERROR(__xludf.DUMMYFUNCTION("""COMPUTED_VALUE"""),24046633)</f>
        <v>24046633</v>
      </c>
      <c r="E292" t="str">
        <f ca="1">IFERROR(__xludf.DUMMYFUNCTION("""COMPUTED_VALUE"""),"20 КРЫТЫЕ")</f>
        <v>20 КРЫТЫЕ</v>
      </c>
      <c r="F292">
        <f ca="1">IFERROR(__xludf.DUMMYFUNCTION("""COMPUTED_VALUE"""),23304)</f>
        <v>23304</v>
      </c>
      <c r="G292" t="str">
        <f ca="1">IFERROR(__xludf.DUMMYFUNCTION("""COMPUTED_VALUE"""),"ГИПС ПР")</f>
        <v>ГИПС ПР</v>
      </c>
      <c r="H292">
        <f ca="1">IFERROR(__xludf.DUMMYFUNCTION("""COMPUTED_VALUE"""),68)</f>
        <v>68</v>
      </c>
      <c r="I292">
        <f ca="1">IFERROR(__xludf.DUMMYFUNCTION("""COMPUTED_VALUE"""),3314)</f>
        <v>3314</v>
      </c>
      <c r="J292" t="str">
        <f ca="1">IFERROR(__xludf.DUMMYFUNCTION("""COMPUTED_VALUE"""),"2723 (44020-120-32000) ОСНОВА - ДАРНИЦА")</f>
        <v>2723 (44020-120-32000) ОСНОВА - ДАРНИЦА</v>
      </c>
      <c r="K292">
        <f ca="1">IFERROR(__xludf.DUMMYFUNCTION("""COMPUTED_VALUE"""),32000)</f>
        <v>32000</v>
      </c>
      <c r="L292" t="str">
        <f ca="1">IFERROR(__xludf.DUMMYFUNCTION("""COMPUTED_VALUE"""),"ДАРНИЦА")</f>
        <v>ДАРНИЦА</v>
      </c>
      <c r="M292" t="str">
        <f ca="1">IFERROR(__xludf.DUMMYFUNCTION("""COMPUTED_VALUE"""),"12.08.21 05-01")</f>
        <v>12.08.21 05-01</v>
      </c>
      <c r="N292" t="str">
        <f ca="1">IFERROR(__xludf.DUMMYFUNCTION("""COMPUTED_VALUE"""),"04 РАСФ")</f>
        <v>04 РАСФ</v>
      </c>
      <c r="O292">
        <f ca="1">IFERROR(__xludf.DUMMYFUNCTION("""COMPUTED_VALUE"""),32040)</f>
        <v>32040</v>
      </c>
      <c r="P292" t="str">
        <f ca="1">IFERROR(__xludf.DUMMYFUNCTION("""COMPUTED_VALUE"""),"ГРУШКИ")</f>
        <v>ГРУШКИ</v>
      </c>
      <c r="Q292">
        <f ca="1">IFERROR(__xludf.DUMMYFUNCTION("""COMPUTED_VALUE"""),49620)</f>
        <v>49620</v>
      </c>
      <c r="R292" t="str">
        <f ca="1">IFERROR(__xludf.DUMMYFUNCTION("""COMPUTED_VALUE"""),"ДЕКОНСКАЯ")</f>
        <v>ДЕКОНСКАЯ</v>
      </c>
      <c r="S292" t="str">
        <f ca="1">IFERROR(__xludf.DUMMYFUNCTION("""COMPUTED_VALUE"""),"08.08.21 00-05")</f>
        <v>08.08.21 00-05</v>
      </c>
      <c r="T292">
        <f ca="1">IFERROR(__xludf.DUMMYFUNCTION("""COMPUTED_VALUE"""),4149)</f>
        <v>4149</v>
      </c>
      <c r="U292" t="str">
        <f ca="1">IFERROR(__xludf.DUMMYFUNCTION("""COMPUTED_VALUE"""),"19.04.2022 ДР")</f>
        <v>19.04.2022 ДР</v>
      </c>
      <c r="AA292" t="str">
        <f ca="1">IFERROR(__xludf.DUMMYFUNCTION("""COMPUTED_VALUE"""),"11-217")</f>
        <v>11-217</v>
      </c>
      <c r="AB292" t="str">
        <f ca="1">IFERROR(__xludf.DUMMYFUNCTION("""COMPUTED_VALUE"""),"48 ДОН")</f>
        <v>48 ДОН</v>
      </c>
      <c r="AC292" t="str">
        <f ca="1">IFERROR(__xludf.DUMMYFUNCTION("""COMPUTED_VALUE"""),"49000 ЛИМАН")</f>
        <v>49000 ЛИМАН</v>
      </c>
      <c r="AD292" t="str">
        <f ca="1">IFERROR(__xludf.DUMMYFUNCTION("""COMPUTED_VALUE"""),"04.06.21 14-10")</f>
        <v>04.06.21 14-10</v>
      </c>
      <c r="AE292" t="str">
        <f ca="1">IFERROR(__xludf.DUMMYFUNCTION("""COMPUTED_VALUE"""),"220 НECOOТВEТCТВИE ЗAЗОРОВ CКOЛЬЗУНA")</f>
        <v>220 НECOOТВEТCТВИE ЗAЗОРОВ CКOЛЬЗУНA</v>
      </c>
      <c r="AF292" t="str">
        <f ca="1">IFERROR(__xludf.DUMMYFUNCTION("""COMPUTED_VALUE"""),"48 ДОН")</f>
        <v>48 ДОН</v>
      </c>
      <c r="AG292" t="str">
        <f ca="1">IFERROR(__xludf.DUMMYFUNCTION("""COMPUTED_VALUE"""),"49000 ЛИМАН")</f>
        <v>49000 ЛИМАН</v>
      </c>
      <c r="AH292" t="str">
        <f ca="1">IFERROR(__xludf.DUMMYFUNCTION("""COMPUTED_VALUE"""),"10.06.21 17-00")</f>
        <v>10.06.21 17-00</v>
      </c>
      <c r="AI292" s="21">
        <f ca="1">IFERROR(__xludf.DUMMYFUNCTION("""COMPUTED_VALUE"""),44420.3576851851)</f>
        <v>44420.357685185103</v>
      </c>
    </row>
    <row r="293" spans="1:35" ht="13" x14ac:dyDescent="0.15">
      <c r="A293">
        <f ca="1">IFERROR(__xludf.DUMMYFUNCTION("""COMPUTED_VALUE"""),1628)</f>
        <v>1628</v>
      </c>
      <c r="B293" t="str">
        <f ca="1">IFERROR(__xludf.DUMMYFUNCTION("""COMPUTED_VALUE"""),"ВИК")</f>
        <v>ВИК</v>
      </c>
      <c r="C293" t="str">
        <f ca="1">IFERROR(__xludf.DUMMYFUNCTION("""COMPUTED_VALUE"""),"ВИК")</f>
        <v>ВИК</v>
      </c>
      <c r="D293">
        <f ca="1">IFERROR(__xludf.DUMMYFUNCTION("""COMPUTED_VALUE"""),24049157)</f>
        <v>24049157</v>
      </c>
      <c r="E293" t="str">
        <f ca="1">IFERROR(__xludf.DUMMYFUNCTION("""COMPUTED_VALUE"""),"20 КРЫТЫЕ")</f>
        <v>20 КРЫТЫЕ</v>
      </c>
      <c r="F293">
        <f ca="1">IFERROR(__xludf.DUMMYFUNCTION("""COMPUTED_VALUE"""),42103)</f>
        <v>42103</v>
      </c>
      <c r="G293" t="str">
        <f ca="1">IFERROR(__xludf.DUMMYFUNCTION("""COMPUTED_VALUE"""),"ВАГОНЫ ЖД СВ")</f>
        <v>ВАГОНЫ ЖД СВ</v>
      </c>
      <c r="H293">
        <f ca="1">IFERROR(__xludf.DUMMYFUNCTION("""COMPUTED_VALUE"""),67)</f>
        <v>67</v>
      </c>
      <c r="I293">
        <f ca="1">IFERROR(__xludf.DUMMYFUNCTION("""COMPUTED_VALUE"""),4714)</f>
        <v>4714</v>
      </c>
      <c r="J293" t="str">
        <f ca="1">IFERROR(__xludf.DUMMYFUNCTION("""COMPUTED_VALUE"""),"3505 (49000-069-49460) ЛИМАН - БАХМУТ")</f>
        <v>3505 (49000-069-49460) ЛИМАН - БАХМУТ</v>
      </c>
      <c r="K293">
        <f ca="1">IFERROR(__xludf.DUMMYFUNCTION("""COMPUTED_VALUE"""),49480)</f>
        <v>49480</v>
      </c>
      <c r="L293" t="str">
        <f ca="1">IFERROR(__xludf.DUMMYFUNCTION("""COMPUTED_VALUE"""),"СОЛЬ")</f>
        <v>СОЛЬ</v>
      </c>
      <c r="M293" t="str">
        <f ca="1">IFERROR(__xludf.DUMMYFUNCTION("""COMPUTED_VALUE"""),"28.07.21 08-55")</f>
        <v>28.07.21 08-55</v>
      </c>
      <c r="N293" t="str">
        <f ca="1">IFERROR(__xludf.DUMMYFUNCTION("""COMPUTED_VALUE"""),"98 ОТОТ")</f>
        <v>98 ОТОТ</v>
      </c>
      <c r="O293">
        <f ca="1">IFERROR(__xludf.DUMMYFUNCTION("""COMPUTED_VALUE"""),49480)</f>
        <v>49480</v>
      </c>
      <c r="P293" t="str">
        <f ca="1">IFERROR(__xludf.DUMMYFUNCTION("""COMPUTED_VALUE"""),"СОЛЬ")</f>
        <v>СОЛЬ</v>
      </c>
      <c r="Q293">
        <f ca="1">IFERROR(__xludf.DUMMYFUNCTION("""COMPUTED_VALUE"""),41220)</f>
        <v>41220</v>
      </c>
      <c r="R293" t="str">
        <f ca="1">IFERROR(__xludf.DUMMYFUNCTION("""COMPUTED_VALUE"""),"БАНДУРКА")</f>
        <v>БАНДУРКА</v>
      </c>
      <c r="S293" t="str">
        <f ca="1">IFERROR(__xludf.DUMMYFUNCTION("""COMPUTED_VALUE"""),"09.06.21 15-50")</f>
        <v>09.06.21 15-50</v>
      </c>
      <c r="T293">
        <f ca="1">IFERROR(__xludf.DUMMYFUNCTION("""COMPUTED_VALUE"""),0)</f>
        <v>0</v>
      </c>
      <c r="U293" t="str">
        <f ca="1">IFERROR(__xludf.DUMMYFUNCTION("""COMPUTED_VALUE"""),"04.05.2022 ДР")</f>
        <v>04.05.2022 ДР</v>
      </c>
      <c r="AA293" t="str">
        <f ca="1">IFERROR(__xludf.DUMMYFUNCTION("""COMPUTED_VALUE"""),"11-217")</f>
        <v>11-217</v>
      </c>
      <c r="AB293" t="str">
        <f ca="1">IFERROR(__xludf.DUMMYFUNCTION("""COMPUTED_VALUE"""),"40 ОД")</f>
        <v>40 ОД</v>
      </c>
      <c r="AC293" t="str">
        <f ca="1">IFERROR(__xludf.DUMMYFUNCTION("""COMPUTED_VALUE"""),"41190 ПОМОШНАЯ")</f>
        <v>41190 ПОМОШНАЯ</v>
      </c>
      <c r="AD293" t="str">
        <f ca="1">IFERROR(__xludf.DUMMYFUNCTION("""COMPUTED_VALUE"""),"04.04.19 10-00")</f>
        <v>04.04.19 10-00</v>
      </c>
      <c r="AE293" t="str">
        <f ca="1">IFERROR(__xludf.DUMMYFUNCTION("""COMPUTED_VALUE"""),"571 ИCТEК КAЛЕНДАРНЫЙ CPOК КAПИТAЛЬНОГО PEМOНТA")</f>
        <v>571 ИCТEК КAЛЕНДАРНЫЙ CPOК КAПИТAЛЬНОГО PEМOНТA</v>
      </c>
      <c r="AF293" t="str">
        <f ca="1">IFERROR(__xludf.DUMMYFUNCTION("""COMPUTED_VALUE"""),"40 ОД")</f>
        <v>40 ОД</v>
      </c>
      <c r="AG293" t="str">
        <f ca="1">IFERROR(__xludf.DUMMYFUNCTION("""COMPUTED_VALUE"""),"41190 ПОМОШНАЯ")</f>
        <v>41190 ПОМОШНАЯ</v>
      </c>
      <c r="AH293" t="str">
        <f ca="1">IFERROR(__xludf.DUMMYFUNCTION("""COMPUTED_VALUE"""),"04.05.19 15-50")</f>
        <v>04.05.19 15-50</v>
      </c>
      <c r="AI293" s="21">
        <f ca="1">IFERROR(__xludf.DUMMYFUNCTION("""COMPUTED_VALUE"""),44420.3576851851)</f>
        <v>44420.357685185103</v>
      </c>
    </row>
    <row r="294" spans="1:35" ht="13" x14ac:dyDescent="0.15">
      <c r="A294">
        <f ca="1">IFERROR(__xludf.DUMMYFUNCTION("""COMPUTED_VALUE"""),1629)</f>
        <v>1629</v>
      </c>
      <c r="B294" t="str">
        <f ca="1">IFERROR(__xludf.DUMMYFUNCTION("""COMPUTED_VALUE"""),"ВИК")</f>
        <v>ВИК</v>
      </c>
      <c r="C294" t="str">
        <f ca="1">IFERROR(__xludf.DUMMYFUNCTION("""COMPUTED_VALUE"""),"ВИК")</f>
        <v>ВИК</v>
      </c>
      <c r="D294">
        <f ca="1">IFERROR(__xludf.DUMMYFUNCTION("""COMPUTED_VALUE"""),24049207)</f>
        <v>24049207</v>
      </c>
      <c r="E294" t="str">
        <f ca="1">IFERROR(__xludf.DUMMYFUNCTION("""COMPUTED_VALUE"""),"20 КРЫТЫЕ")</f>
        <v>20 КРЫТЫЕ</v>
      </c>
      <c r="F294">
        <f ca="1">IFERROR(__xludf.DUMMYFUNCTION("""COMPUTED_VALUE"""),42103)</f>
        <v>42103</v>
      </c>
      <c r="G294" t="str">
        <f ca="1">IFERROR(__xludf.DUMMYFUNCTION("""COMPUTED_VALUE"""),"ВАГОНЫ ЖД СВ")</f>
        <v>ВАГОНЫ ЖД СВ</v>
      </c>
      <c r="H294">
        <f ca="1">IFERROR(__xludf.DUMMYFUNCTION("""COMPUTED_VALUE"""),63)</f>
        <v>63</v>
      </c>
      <c r="I294">
        <f ca="1">IFERROR(__xludf.DUMMYFUNCTION("""COMPUTED_VALUE"""),7305)</f>
        <v>7305</v>
      </c>
      <c r="J294" t="str">
        <f ca="1">IFERROR(__xludf.DUMMYFUNCTION("""COMPUTED_VALUE"""),"2220 (41000-541-46000) ЗНАМЕНКА - ЗАПОРОЖ-ЛЕВ")</f>
        <v>2220 (41000-541-46000) ЗНАМЕНКА - ЗАПОРОЖ-ЛЕВ</v>
      </c>
      <c r="K294">
        <f ca="1">IFERROR(__xludf.DUMMYFUNCTION("""COMPUTED_VALUE"""),45682)</f>
        <v>45682</v>
      </c>
      <c r="L294" t="str">
        <f ca="1">IFERROR(__xludf.DUMMYFUNCTION("""COMPUTED_VALUE"""),"ПЯТИХАТКИ-СТ")</f>
        <v>ПЯТИХАТКИ-СТ</v>
      </c>
      <c r="M294" t="str">
        <f ca="1">IFERROR(__xludf.DUMMYFUNCTION("""COMPUTED_VALUE"""),"12.08.21 08-05")</f>
        <v>12.08.21 08-05</v>
      </c>
      <c r="N294" t="str">
        <f ca="1">IFERROR(__xludf.DUMMYFUNCTION("""COMPUTED_VALUE"""),"11 ПРМ")</f>
        <v>11 ПРМ</v>
      </c>
      <c r="O294">
        <f ca="1">IFERROR(__xludf.DUMMYFUNCTION("""COMPUTED_VALUE"""),46350)</f>
        <v>46350</v>
      </c>
      <c r="P294" t="str">
        <f ca="1">IFERROR(__xludf.DUMMYFUNCTION("""COMPUTED_VALUE"""),"ПЕРЕДАТОЧНАЯ")</f>
        <v>ПЕРЕДАТОЧНАЯ</v>
      </c>
      <c r="Q294">
        <f ca="1">IFERROR(__xludf.DUMMYFUNCTION("""COMPUTED_VALUE"""),46350)</f>
        <v>46350</v>
      </c>
      <c r="R294" t="str">
        <f ca="1">IFERROR(__xludf.DUMMYFUNCTION("""COMPUTED_VALUE"""),"ПЕРЕДАТОЧНАЯ")</f>
        <v>ПЕРЕДАТОЧНАЯ</v>
      </c>
      <c r="S294" t="str">
        <f ca="1">IFERROR(__xludf.DUMMYFUNCTION("""COMPUTED_VALUE"""),"12.07.21 20-20")</f>
        <v>12.07.21 20-20</v>
      </c>
      <c r="T294">
        <f ca="1">IFERROR(__xludf.DUMMYFUNCTION("""COMPUTED_VALUE"""),0)</f>
        <v>0</v>
      </c>
      <c r="U294" t="str">
        <f ca="1">IFERROR(__xludf.DUMMYFUNCTION("""COMPUTED_VALUE"""),"26.05.2022 ДР")</f>
        <v>26.05.2022 ДР</v>
      </c>
      <c r="AA294" t="str">
        <f ca="1">IFERROR(__xludf.DUMMYFUNCTION("""COMPUTED_VALUE"""),"11-217")</f>
        <v>11-217</v>
      </c>
      <c r="AB294" t="str">
        <f ca="1">IFERROR(__xludf.DUMMYFUNCTION("""COMPUTED_VALUE"""),"40 ОД")</f>
        <v>40 ОД</v>
      </c>
      <c r="AC294" t="str">
        <f ca="1">IFERROR(__xludf.DUMMYFUNCTION("""COMPUTED_VALUE"""),"41190 ПОМОШНАЯ")</f>
        <v>41190 ПОМОШНАЯ</v>
      </c>
      <c r="AD294" t="str">
        <f ca="1">IFERROR(__xludf.DUMMYFUNCTION("""COMPUTED_VALUE"""),"14.04.21 16-00")</f>
        <v>14.04.21 16-00</v>
      </c>
      <c r="AE294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294" t="str">
        <f ca="1">IFERROR(__xludf.DUMMYFUNCTION("""COMPUTED_VALUE"""),"40 ОД")</f>
        <v>40 ОД</v>
      </c>
      <c r="AG294" t="str">
        <f ca="1">IFERROR(__xludf.DUMMYFUNCTION("""COMPUTED_VALUE"""),"41190 ПОМОШНАЯ")</f>
        <v>41190 ПОМОШНАЯ</v>
      </c>
      <c r="AH294" t="str">
        <f ca="1">IFERROR(__xludf.DUMMYFUNCTION("""COMPUTED_VALUE"""),"26.05.21 13-40")</f>
        <v>26.05.21 13-40</v>
      </c>
      <c r="AI294" s="21">
        <f ca="1">IFERROR(__xludf.DUMMYFUNCTION("""COMPUTED_VALUE"""),44420.3576851851)</f>
        <v>44420.357685185103</v>
      </c>
    </row>
    <row r="295" spans="1:35" ht="13" x14ac:dyDescent="0.15">
      <c r="A295">
        <f ca="1">IFERROR(__xludf.DUMMYFUNCTION("""COMPUTED_VALUE"""),1630)</f>
        <v>1630</v>
      </c>
      <c r="B295" t="str">
        <f ca="1">IFERROR(__xludf.DUMMYFUNCTION("""COMPUTED_VALUE"""),"ВИК")</f>
        <v>ВИК</v>
      </c>
      <c r="C295" t="str">
        <f ca="1">IFERROR(__xludf.DUMMYFUNCTION("""COMPUTED_VALUE"""),"ВИК")</f>
        <v>ВИК</v>
      </c>
      <c r="D295">
        <f ca="1">IFERROR(__xludf.DUMMYFUNCTION("""COMPUTED_VALUE"""),24049439)</f>
        <v>24049439</v>
      </c>
      <c r="E295" t="str">
        <f ca="1">IFERROR(__xludf.DUMMYFUNCTION("""COMPUTED_VALUE"""),"20 КРЫТЫЕ")</f>
        <v>20 КРЫТЫЕ</v>
      </c>
      <c r="F295">
        <f ca="1">IFERROR(__xludf.DUMMYFUNCTION("""COMPUTED_VALUE"""),42119)</f>
        <v>42119</v>
      </c>
      <c r="G295" t="str">
        <f ca="1">IFERROR(__xludf.DUMMYFUNCTION("""COMPUTED_VALUE"""),"ВАГОНЫ ЖД РЕМОН")</f>
        <v>ВАГОНЫ ЖД РЕМОН</v>
      </c>
      <c r="H295">
        <f ca="1">IFERROR(__xludf.DUMMYFUNCTION("""COMPUTED_VALUE"""),0)</f>
        <v>0</v>
      </c>
      <c r="I295">
        <f ca="1">IFERROR(__xludf.DUMMYFUNCTION("""COMPUTED_VALUE"""),4456)</f>
        <v>4456</v>
      </c>
      <c r="J295" t="str">
        <f ca="1">IFERROR(__xludf.DUMMYFUNCTION("""COMPUTED_VALUE"""),"3582 (46060-002-46360) ЗАПОРОЖЬЕ II - РАСТУЩАЯ")</f>
        <v>3582 (46060-002-46360) ЗАПОРОЖЬЕ II - РАСТУЩАЯ</v>
      </c>
      <c r="K295">
        <f ca="1">IFERROR(__xludf.DUMMYFUNCTION("""COMPUTED_VALUE"""),46350)</f>
        <v>46350</v>
      </c>
      <c r="L295" t="str">
        <f ca="1">IFERROR(__xludf.DUMMYFUNCTION("""COMPUTED_VALUE"""),"ПЕРЕДАТОЧНАЯ")</f>
        <v>ПЕРЕДАТОЧНАЯ</v>
      </c>
      <c r="M295" t="str">
        <f ca="1">IFERROR(__xludf.DUMMYFUNCTION("""COMPUTED_VALUE"""),"10.08.21 16-15")</f>
        <v>10.08.21 16-15</v>
      </c>
      <c r="N295" t="str">
        <f ca="1">IFERROR(__xludf.DUMMYFUNCTION("""COMPUTED_VALUE"""),"98 ОТОТ")</f>
        <v>98 ОТОТ</v>
      </c>
      <c r="O295">
        <f ca="1">IFERROR(__xludf.DUMMYFUNCTION("""COMPUTED_VALUE"""),46350)</f>
        <v>46350</v>
      </c>
      <c r="P295" t="str">
        <f ca="1">IFERROR(__xludf.DUMMYFUNCTION("""COMPUTED_VALUE"""),"ПЕРЕДАТОЧНАЯ")</f>
        <v>ПЕРЕДАТОЧНАЯ</v>
      </c>
      <c r="Q295">
        <f ca="1">IFERROR(__xludf.DUMMYFUNCTION("""COMPUTED_VALUE"""),46070)</f>
        <v>46070</v>
      </c>
      <c r="R295" t="str">
        <f ca="1">IFERROR(__xludf.DUMMYFUNCTION("""COMPUTED_VALUE"""),"ЗАПОРОЖЬЕ I")</f>
        <v>ЗАПОРОЖЬЕ I</v>
      </c>
      <c r="S295" t="str">
        <f ca="1">IFERROR(__xludf.DUMMYFUNCTION("""COMPUTED_VALUE"""),"06.08.21 16-00")</f>
        <v>06.08.21 16-00</v>
      </c>
      <c r="T295">
        <f ca="1">IFERROR(__xludf.DUMMYFUNCTION("""COMPUTED_VALUE"""),4456)</f>
        <v>4456</v>
      </c>
      <c r="U295" t="str">
        <f ca="1">IFERROR(__xludf.DUMMYFUNCTION("""COMPUTED_VALUE"""),"24.04.2022 ДР")</f>
        <v>24.04.2022 ДР</v>
      </c>
      <c r="AA295" t="str">
        <f ca="1">IFERROR(__xludf.DUMMYFUNCTION("""COMPUTED_VALUE"""),"11-217")</f>
        <v>11-217</v>
      </c>
      <c r="AB295" t="str">
        <f ca="1">IFERROR(__xludf.DUMMYFUNCTION("""COMPUTED_VALUE"""),"45 ПРИДН")</f>
        <v>45 ПРИДН</v>
      </c>
      <c r="AC295" t="str">
        <f ca="1">IFERROR(__xludf.DUMMYFUNCTION("""COMPUTED_VALUE"""),"46070 ЗАПОРОЖЬЕ I")</f>
        <v>46070 ЗАПОРОЖЬЕ I</v>
      </c>
      <c r="AD295" t="str">
        <f ca="1">IFERROR(__xludf.DUMMYFUNCTION("""COMPUTED_VALUE"""),"06.08.21 10-00")</f>
        <v>06.08.21 10-00</v>
      </c>
      <c r="AE295" t="str">
        <f ca="1">IFERROR(__xludf.DUMMYFUNCTION("""COMPUTED_VALUE"""),"537 НEИCПPAВНOCТЬ ЗAПOPA ДВEPИ")</f>
        <v>537 НEИCПPAВНOCТЬ ЗAПOPA ДВEPИ</v>
      </c>
      <c r="AF295" t="str">
        <f ca="1">IFERROR(__xludf.DUMMYFUNCTION("""COMPUTED_VALUE"""),"45 ПРИДН")</f>
        <v>45 ПРИДН</v>
      </c>
      <c r="AG295" t="str">
        <f ca="1">IFERROR(__xludf.DUMMYFUNCTION("""COMPUTED_VALUE"""),"46070 ЗАПОРОЖЬЕ I")</f>
        <v>46070 ЗАПОРОЖЬЕ I</v>
      </c>
      <c r="AH295" t="str">
        <f ca="1">IFERROR(__xludf.DUMMYFUNCTION("""COMPUTED_VALUE"""),"06.08.21 16-00")</f>
        <v>06.08.21 16-00</v>
      </c>
      <c r="AI295" s="21">
        <f ca="1">IFERROR(__xludf.DUMMYFUNCTION("""COMPUTED_VALUE"""),44420.3576851851)</f>
        <v>44420.357685185103</v>
      </c>
    </row>
    <row r="296" spans="1:35" ht="13" x14ac:dyDescent="0.15">
      <c r="A296">
        <f ca="1">IFERROR(__xludf.DUMMYFUNCTION("""COMPUTED_VALUE"""),1631)</f>
        <v>1631</v>
      </c>
      <c r="B296" t="str">
        <f ca="1">IFERROR(__xludf.DUMMYFUNCTION("""COMPUTED_VALUE"""),"ВИК")</f>
        <v>ВИК</v>
      </c>
      <c r="C296" t="str">
        <f ca="1">IFERROR(__xludf.DUMMYFUNCTION("""COMPUTED_VALUE"""),"ВИК")</f>
        <v>ВИК</v>
      </c>
      <c r="D296">
        <f ca="1">IFERROR(__xludf.DUMMYFUNCTION("""COMPUTED_VALUE"""),24050510)</f>
        <v>24050510</v>
      </c>
      <c r="E296" t="str">
        <f ca="1">IFERROR(__xludf.DUMMYFUNCTION("""COMPUTED_VALUE"""),"20 КРЫТЫЕ")</f>
        <v>20 КРЫТЫЕ</v>
      </c>
      <c r="F296">
        <f ca="1">IFERROR(__xludf.DUMMYFUNCTION("""COMPUTED_VALUE"""),42103)</f>
        <v>42103</v>
      </c>
      <c r="G296" t="str">
        <f ca="1">IFERROR(__xludf.DUMMYFUNCTION("""COMPUTED_VALUE"""),"ВАГОНЫ ЖД СВ")</f>
        <v>ВАГОНЫ ЖД СВ</v>
      </c>
      <c r="H296">
        <f ca="1">IFERROR(__xludf.DUMMYFUNCTION("""COMPUTED_VALUE"""),0)</f>
        <v>0</v>
      </c>
      <c r="I296">
        <f ca="1">IFERROR(__xludf.DUMMYFUNCTION("""COMPUTED_VALUE"""),4149)</f>
        <v>4149</v>
      </c>
      <c r="J296" t="str">
        <f ca="1">IFERROR(__xludf.DUMMYFUNCTION("""COMPUTED_VALUE"""),"2831 (44020-300-49000) ОСНОВА - ЛИМАН")</f>
        <v>2831 (44020-300-49000) ОСНОВА - ЛИМАН</v>
      </c>
      <c r="K296">
        <f ca="1">IFERROR(__xludf.DUMMYFUNCTION("""COMPUTED_VALUE"""),49005)</f>
        <v>49005</v>
      </c>
      <c r="L296" t="str">
        <f ca="1">IFERROR(__xludf.DUMMYFUNCTION("""COMPUTED_VALUE"""),"ФОРПОСТНАЯ")</f>
        <v>ФОРПОСТНАЯ</v>
      </c>
      <c r="M296" t="str">
        <f ca="1">IFERROR(__xludf.DUMMYFUNCTION("""COMPUTED_VALUE"""),"12.08.21 08-19")</f>
        <v>12.08.21 08-19</v>
      </c>
      <c r="N296" t="str">
        <f ca="1">IFERROR(__xludf.DUMMYFUNCTION("""COMPUTED_VALUE"""),"03 ПРОС")</f>
        <v>03 ПРОС</v>
      </c>
      <c r="O296">
        <f ca="1">IFERROR(__xludf.DUMMYFUNCTION("""COMPUTED_VALUE"""),49620)</f>
        <v>49620</v>
      </c>
      <c r="P296" t="str">
        <f ca="1">IFERROR(__xludf.DUMMYFUNCTION("""COMPUTED_VALUE"""),"ДЕКОНСКАЯ")</f>
        <v>ДЕКОНСКАЯ</v>
      </c>
      <c r="Q296">
        <f ca="1">IFERROR(__xludf.DUMMYFUNCTION("""COMPUTED_VALUE"""),32040)</f>
        <v>32040</v>
      </c>
      <c r="R296" t="str">
        <f ca="1">IFERROR(__xludf.DUMMYFUNCTION("""COMPUTED_VALUE"""),"ГРУШКИ")</f>
        <v>ГРУШКИ</v>
      </c>
      <c r="S296" t="str">
        <f ca="1">IFERROR(__xludf.DUMMYFUNCTION("""COMPUTED_VALUE"""),"06.08.21 16-00")</f>
        <v>06.08.21 16-00</v>
      </c>
      <c r="T296">
        <f ca="1">IFERROR(__xludf.DUMMYFUNCTION("""COMPUTED_VALUE"""),4456)</f>
        <v>4456</v>
      </c>
      <c r="U296" t="str">
        <f ca="1">IFERROR(__xludf.DUMMYFUNCTION("""COMPUTED_VALUE"""),"25.09.2021 ДР")</f>
        <v>25.09.2021 ДР</v>
      </c>
      <c r="AA296" t="str">
        <f ca="1">IFERROR(__xludf.DUMMYFUNCTION("""COMPUTED_VALUE"""),"11-217")</f>
        <v>11-217</v>
      </c>
      <c r="AB296" t="str">
        <f ca="1">IFERROR(__xludf.DUMMYFUNCTION("""COMPUTED_VALUE"""),"40 ОД")</f>
        <v>40 ОД</v>
      </c>
      <c r="AC296" t="str">
        <f ca="1">IFERROR(__xludf.DUMMYFUNCTION("""COMPUTED_VALUE"""),"41190 ПОМОШНАЯ")</f>
        <v>41190 ПОМОШНАЯ</v>
      </c>
      <c r="AD296" t="str">
        <f ca="1">IFERROR(__xludf.DUMMYFUNCTION("""COMPUTED_VALUE"""),"09.09.20 09-00")</f>
        <v>09.09.20 09-00</v>
      </c>
      <c r="AE296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296" t="str">
        <f ca="1">IFERROR(__xludf.DUMMYFUNCTION("""COMPUTED_VALUE"""),"40 ОД")</f>
        <v>40 ОД</v>
      </c>
      <c r="AG296" t="str">
        <f ca="1">IFERROR(__xludf.DUMMYFUNCTION("""COMPUTED_VALUE"""),"41190 ПОМОШНАЯ")</f>
        <v>41190 ПОМОШНАЯ</v>
      </c>
      <c r="AH296" t="str">
        <f ca="1">IFERROR(__xludf.DUMMYFUNCTION("""COMPUTED_VALUE"""),"25.09.20 15-25")</f>
        <v>25.09.20 15-25</v>
      </c>
      <c r="AI296" s="21">
        <f ca="1">IFERROR(__xludf.DUMMYFUNCTION("""COMPUTED_VALUE"""),44420.3576851851)</f>
        <v>44420.357685185103</v>
      </c>
    </row>
    <row r="297" spans="1:35" ht="13" x14ac:dyDescent="0.15">
      <c r="A297">
        <f ca="1">IFERROR(__xludf.DUMMYFUNCTION("""COMPUTED_VALUE"""),1632)</f>
        <v>1632</v>
      </c>
      <c r="B297" t="str">
        <f ca="1">IFERROR(__xludf.DUMMYFUNCTION("""COMPUTED_VALUE"""),"ВИК")</f>
        <v>ВИК</v>
      </c>
      <c r="C297" t="str">
        <f ca="1">IFERROR(__xludf.DUMMYFUNCTION("""COMPUTED_VALUE"""),"ВИК")</f>
        <v>ВИК</v>
      </c>
      <c r="D297">
        <f ca="1">IFERROR(__xludf.DUMMYFUNCTION("""COMPUTED_VALUE"""),24050536)</f>
        <v>24050536</v>
      </c>
      <c r="E297" t="str">
        <f ca="1">IFERROR(__xludf.DUMMYFUNCTION("""COMPUTED_VALUE"""),"20 КРЫТЫЕ")</f>
        <v>20 КРЫТЫЕ</v>
      </c>
      <c r="F297">
        <f ca="1">IFERROR(__xludf.DUMMYFUNCTION("""COMPUTED_VALUE"""),42103)</f>
        <v>42103</v>
      </c>
      <c r="G297" t="str">
        <f ca="1">IFERROR(__xludf.DUMMYFUNCTION("""COMPUTED_VALUE"""),"ВАГОНЫ ЖД СВ")</f>
        <v>ВАГОНЫ ЖД СВ</v>
      </c>
      <c r="H297">
        <f ca="1">IFERROR(__xludf.DUMMYFUNCTION("""COMPUTED_VALUE"""),0)</f>
        <v>0</v>
      </c>
      <c r="I297">
        <f ca="1">IFERROR(__xludf.DUMMYFUNCTION("""COMPUTED_VALUE"""),4149)</f>
        <v>4149</v>
      </c>
      <c r="J297" t="str">
        <f ca="1">IFERROR(__xludf.DUMMYFUNCTION("""COMPUTED_VALUE"""),"2831 (44020-300-49000) ОСНОВА - ЛИМАН")</f>
        <v>2831 (44020-300-49000) ОСНОВА - ЛИМАН</v>
      </c>
      <c r="K297">
        <f ca="1">IFERROR(__xludf.DUMMYFUNCTION("""COMPUTED_VALUE"""),49005)</f>
        <v>49005</v>
      </c>
      <c r="L297" t="str">
        <f ca="1">IFERROR(__xludf.DUMMYFUNCTION("""COMPUTED_VALUE"""),"ФОРПОСТНАЯ")</f>
        <v>ФОРПОСТНАЯ</v>
      </c>
      <c r="M297" t="str">
        <f ca="1">IFERROR(__xludf.DUMMYFUNCTION("""COMPUTED_VALUE"""),"12.08.21 08-19")</f>
        <v>12.08.21 08-19</v>
      </c>
      <c r="N297" t="str">
        <f ca="1">IFERROR(__xludf.DUMMYFUNCTION("""COMPUTED_VALUE"""),"03 ПРОС")</f>
        <v>03 ПРОС</v>
      </c>
      <c r="O297">
        <f ca="1">IFERROR(__xludf.DUMMYFUNCTION("""COMPUTED_VALUE"""),49620)</f>
        <v>49620</v>
      </c>
      <c r="P297" t="str">
        <f ca="1">IFERROR(__xludf.DUMMYFUNCTION("""COMPUTED_VALUE"""),"ДЕКОНСКАЯ")</f>
        <v>ДЕКОНСКАЯ</v>
      </c>
      <c r="Q297">
        <f ca="1">IFERROR(__xludf.DUMMYFUNCTION("""COMPUTED_VALUE"""),32040)</f>
        <v>32040</v>
      </c>
      <c r="R297" t="str">
        <f ca="1">IFERROR(__xludf.DUMMYFUNCTION("""COMPUTED_VALUE"""),"ГРУШКИ")</f>
        <v>ГРУШКИ</v>
      </c>
      <c r="S297" t="str">
        <f ca="1">IFERROR(__xludf.DUMMYFUNCTION("""COMPUTED_VALUE"""),"06.08.21 16-00")</f>
        <v>06.08.21 16-00</v>
      </c>
      <c r="T297">
        <f ca="1">IFERROR(__xludf.DUMMYFUNCTION("""COMPUTED_VALUE"""),4456)</f>
        <v>4456</v>
      </c>
      <c r="U297" t="str">
        <f ca="1">IFERROR(__xludf.DUMMYFUNCTION("""COMPUTED_VALUE"""),"10.09.2021 КР")</f>
        <v>10.09.2021 КР</v>
      </c>
      <c r="AA297" t="str">
        <f ca="1">IFERROR(__xludf.DUMMYFUNCTION("""COMPUTED_VALUE"""),"11-217")</f>
        <v>11-217</v>
      </c>
      <c r="AB297" t="str">
        <f ca="1">IFERROR(__xludf.DUMMYFUNCTION("""COMPUTED_VALUE"""),"40 ОД")</f>
        <v>40 ОД</v>
      </c>
      <c r="AC297" t="str">
        <f ca="1">IFERROR(__xludf.DUMMYFUNCTION("""COMPUTED_VALUE"""),"41190 ПОМОШНАЯ")</f>
        <v>41190 ПОМОШНАЯ</v>
      </c>
      <c r="AD297" t="str">
        <f ca="1">IFERROR(__xludf.DUMMYFUNCTION("""COMPUTED_VALUE"""),"05.09.20 10-00")</f>
        <v>05.09.20 10-00</v>
      </c>
      <c r="AE297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297" t="str">
        <f ca="1">IFERROR(__xludf.DUMMYFUNCTION("""COMPUTED_VALUE"""),"40 ОД")</f>
        <v>40 ОД</v>
      </c>
      <c r="AG297" t="str">
        <f ca="1">IFERROR(__xludf.DUMMYFUNCTION("""COMPUTED_VALUE"""),"41190 ПОМОШНАЯ")</f>
        <v>41190 ПОМОШНАЯ</v>
      </c>
      <c r="AH297" t="str">
        <f ca="1">IFERROR(__xludf.DUMMYFUNCTION("""COMPUTED_VALUE"""),"10.09.20 17-00")</f>
        <v>10.09.20 17-00</v>
      </c>
      <c r="AI297" s="21">
        <f ca="1">IFERROR(__xludf.DUMMYFUNCTION("""COMPUTED_VALUE"""),44420.3576851851)</f>
        <v>44420.357685185103</v>
      </c>
    </row>
    <row r="298" spans="1:35" ht="13" x14ac:dyDescent="0.15">
      <c r="A298">
        <f ca="1">IFERROR(__xludf.DUMMYFUNCTION("""COMPUTED_VALUE"""),1633)</f>
        <v>1633</v>
      </c>
      <c r="B298" t="str">
        <f ca="1">IFERROR(__xludf.DUMMYFUNCTION("""COMPUTED_VALUE"""),"ВИК")</f>
        <v>ВИК</v>
      </c>
      <c r="C298" t="str">
        <f ca="1">IFERROR(__xludf.DUMMYFUNCTION("""COMPUTED_VALUE"""),"ВИК")</f>
        <v>ВИК</v>
      </c>
      <c r="D298">
        <f ca="1">IFERROR(__xludf.DUMMYFUNCTION("""COMPUTED_VALUE"""),24056723)</f>
        <v>24056723</v>
      </c>
      <c r="E298" t="str">
        <f ca="1">IFERROR(__xludf.DUMMYFUNCTION("""COMPUTED_VALUE"""),"20 КРЫТЫЕ")</f>
        <v>20 КРЫТЫЕ</v>
      </c>
      <c r="F298">
        <f ca="1">IFERROR(__xludf.DUMMYFUNCTION("""COMPUTED_VALUE"""),23304)</f>
        <v>23304</v>
      </c>
      <c r="G298" t="str">
        <f ca="1">IFERROR(__xludf.DUMMYFUNCTION("""COMPUTED_VALUE"""),"ГИПС ПР")</f>
        <v>ГИПС ПР</v>
      </c>
      <c r="H298">
        <f ca="1">IFERROR(__xludf.DUMMYFUNCTION("""COMPUTED_VALUE"""),67)</f>
        <v>67</v>
      </c>
      <c r="I298">
        <f ca="1">IFERROR(__xludf.DUMMYFUNCTION("""COMPUTED_VALUE"""),3314)</f>
        <v>3314</v>
      </c>
      <c r="J298" t="str">
        <f ca="1">IFERROR(__xludf.DUMMYFUNCTION("""COMPUTED_VALUE"""),"2143 (44020-239-32000) ОСНОВА - ДАРНИЦА")</f>
        <v>2143 (44020-239-32000) ОСНОВА - ДАРНИЦА</v>
      </c>
      <c r="K298">
        <f ca="1">IFERROR(__xludf.DUMMYFUNCTION("""COMPUTED_VALUE"""),42830)</f>
        <v>42830</v>
      </c>
      <c r="L298" t="str">
        <f ca="1">IFERROR(__xludf.DUMMYFUNCTION("""COMPUTED_VALUE"""),"ГРЕБЕНКА")</f>
        <v>ГРЕБЕНКА</v>
      </c>
      <c r="M298" t="str">
        <f ca="1">IFERROR(__xludf.DUMMYFUNCTION("""COMPUTED_VALUE"""),"12.08.21 08-10")</f>
        <v>12.08.21 08-10</v>
      </c>
      <c r="N298" t="str">
        <f ca="1">IFERROR(__xludf.DUMMYFUNCTION("""COMPUTED_VALUE"""),"22 СДЧ")</f>
        <v>22 СДЧ</v>
      </c>
      <c r="O298">
        <f ca="1">IFERROR(__xludf.DUMMYFUNCTION("""COMPUTED_VALUE"""),32040)</f>
        <v>32040</v>
      </c>
      <c r="P298" t="str">
        <f ca="1">IFERROR(__xludf.DUMMYFUNCTION("""COMPUTED_VALUE"""),"ГРУШКИ")</f>
        <v>ГРУШКИ</v>
      </c>
      <c r="Q298">
        <f ca="1">IFERROR(__xludf.DUMMYFUNCTION("""COMPUTED_VALUE"""),49620)</f>
        <v>49620</v>
      </c>
      <c r="R298" t="str">
        <f ca="1">IFERROR(__xludf.DUMMYFUNCTION("""COMPUTED_VALUE"""),"ДЕКОНСКАЯ")</f>
        <v>ДЕКОНСКАЯ</v>
      </c>
      <c r="S298" t="str">
        <f ca="1">IFERROR(__xludf.DUMMYFUNCTION("""COMPUTED_VALUE"""),"09.08.21 11-40")</f>
        <v>09.08.21 11-40</v>
      </c>
      <c r="T298">
        <f ca="1">IFERROR(__xludf.DUMMYFUNCTION("""COMPUTED_VALUE"""),4149)</f>
        <v>4149</v>
      </c>
      <c r="U298" t="str">
        <f ca="1">IFERROR(__xludf.DUMMYFUNCTION("""COMPUTED_VALUE"""),"26.09.2021 ДР")</f>
        <v>26.09.2021 ДР</v>
      </c>
      <c r="AA298" t="str">
        <f ca="1">IFERROR(__xludf.DUMMYFUNCTION("""COMPUTED_VALUE"""),"11-217")</f>
        <v>11-217</v>
      </c>
      <c r="AB298" t="str">
        <f ca="1">IFERROR(__xludf.DUMMYFUNCTION("""COMPUTED_VALUE"""),"40 ОД")</f>
        <v>40 ОД</v>
      </c>
      <c r="AC298" t="str">
        <f ca="1">IFERROR(__xludf.DUMMYFUNCTION("""COMPUTED_VALUE"""),"41190 ПОМОШНАЯ")</f>
        <v>41190 ПОМОШНАЯ</v>
      </c>
      <c r="AD298" t="str">
        <f ca="1">IFERROR(__xludf.DUMMYFUNCTION("""COMPUTED_VALUE"""),"17.09.19 13-00")</f>
        <v>17.09.19 13-00</v>
      </c>
      <c r="AE298" t="str">
        <f ca="1">IFERROR(__xludf.DUMMYFUNCTION("""COMPUTED_VALUE"""),"571 ИCТEК КAЛЕНДАРНЫЙ CPOК КAПИТAЛЬНОГО PEМOНТA")</f>
        <v>571 ИCТEК КAЛЕНДАРНЫЙ CPOК КAПИТAЛЬНОГО PEМOНТA</v>
      </c>
      <c r="AF298" t="str">
        <f ca="1">IFERROR(__xludf.DUMMYFUNCTION("""COMPUTED_VALUE"""),"40 ОД")</f>
        <v>40 ОД</v>
      </c>
      <c r="AG298" t="str">
        <f ca="1">IFERROR(__xludf.DUMMYFUNCTION("""COMPUTED_VALUE"""),"41190 ПОМОШНАЯ")</f>
        <v>41190 ПОМОШНАЯ</v>
      </c>
      <c r="AH298" t="str">
        <f ca="1">IFERROR(__xludf.DUMMYFUNCTION("""COMPUTED_VALUE"""),"26.09.19 16-30")</f>
        <v>26.09.19 16-30</v>
      </c>
      <c r="AI298" s="21">
        <f ca="1">IFERROR(__xludf.DUMMYFUNCTION("""COMPUTED_VALUE"""),44420.3576851851)</f>
        <v>44420.357685185103</v>
      </c>
    </row>
    <row r="299" spans="1:35" ht="13" x14ac:dyDescent="0.15">
      <c r="A299">
        <f ca="1">IFERROR(__xludf.DUMMYFUNCTION("""COMPUTED_VALUE"""),1634)</f>
        <v>1634</v>
      </c>
      <c r="B299" t="str">
        <f ca="1">IFERROR(__xludf.DUMMYFUNCTION("""COMPUTED_VALUE"""),"ВИК")</f>
        <v>ВИК</v>
      </c>
      <c r="C299" t="str">
        <f ca="1">IFERROR(__xludf.DUMMYFUNCTION("""COMPUTED_VALUE"""),"ВИК")</f>
        <v>ВИК</v>
      </c>
      <c r="D299">
        <f ca="1">IFERROR(__xludf.DUMMYFUNCTION("""COMPUTED_VALUE"""),24057010)</f>
        <v>24057010</v>
      </c>
      <c r="E299" t="str">
        <f ca="1">IFERROR(__xludf.DUMMYFUNCTION("""COMPUTED_VALUE"""),"20 КРЫТЫЕ")</f>
        <v>20 КРЫТЫЕ</v>
      </c>
      <c r="F299">
        <f ca="1">IFERROR(__xludf.DUMMYFUNCTION("""COMPUTED_VALUE"""),42103)</f>
        <v>42103</v>
      </c>
      <c r="G299" t="str">
        <f ca="1">IFERROR(__xludf.DUMMYFUNCTION("""COMPUTED_VALUE"""),"ВАГОНЫ ЖД СВ")</f>
        <v>ВАГОНЫ ЖД СВ</v>
      </c>
      <c r="H299">
        <f ca="1">IFERROR(__xludf.DUMMYFUNCTION("""COMPUTED_VALUE"""),60)</f>
        <v>60</v>
      </c>
      <c r="I299">
        <f ca="1">IFERROR(__xludf.DUMMYFUNCTION("""COMPUTED_VALUE"""),7305)</f>
        <v>7305</v>
      </c>
      <c r="J299" t="str">
        <f ca="1">IFERROR(__xludf.DUMMYFUNCTION("""COMPUTED_VALUE"""),"2226 (35000-010-34270) ЗДОЛБУНОВ - КАЗАТИН I")</f>
        <v>2226 (35000-010-34270) ЗДОЛБУНОВ - КАЗАТИН I</v>
      </c>
      <c r="K299">
        <f ca="1">IFERROR(__xludf.DUMMYFUNCTION("""COMPUTED_VALUE"""),34150)</f>
        <v>34150</v>
      </c>
      <c r="L299" t="str">
        <f ca="1">IFERROR(__xludf.DUMMYFUNCTION("""COMPUTED_VALUE"""),"ЦВЕТОХА")</f>
        <v>ЦВЕТОХА</v>
      </c>
      <c r="M299" t="str">
        <f ca="1">IFERROR(__xludf.DUMMYFUNCTION("""COMPUTED_VALUE"""),"12.08.21 07-48")</f>
        <v>12.08.21 07-48</v>
      </c>
      <c r="N299" t="str">
        <f ca="1">IFERROR(__xludf.DUMMYFUNCTION("""COMPUTED_VALUE"""),"03 ПРОС")</f>
        <v>03 ПРОС</v>
      </c>
      <c r="O299">
        <f ca="1">IFERROR(__xludf.DUMMYFUNCTION("""COMPUTED_VALUE"""),46350)</f>
        <v>46350</v>
      </c>
      <c r="P299" t="str">
        <f ca="1">IFERROR(__xludf.DUMMYFUNCTION("""COMPUTED_VALUE"""),"ПЕРЕДАТОЧНАЯ")</f>
        <v>ПЕРЕДАТОЧНАЯ</v>
      </c>
      <c r="Q299">
        <f ca="1">IFERROR(__xludf.DUMMYFUNCTION("""COMPUTED_VALUE"""),46350)</f>
        <v>46350</v>
      </c>
      <c r="R299" t="str">
        <f ca="1">IFERROR(__xludf.DUMMYFUNCTION("""COMPUTED_VALUE"""),"ПЕРЕДАТОЧНАЯ")</f>
        <v>ПЕРЕДАТОЧНАЯ</v>
      </c>
      <c r="S299" t="str">
        <f ca="1">IFERROR(__xludf.DUMMYFUNCTION("""COMPUTED_VALUE"""),"27.07.21 15-00")</f>
        <v>27.07.21 15-00</v>
      </c>
      <c r="T299">
        <f ca="1">IFERROR(__xludf.DUMMYFUNCTION("""COMPUTED_VALUE"""),0)</f>
        <v>0</v>
      </c>
      <c r="U299" t="str">
        <f ca="1">IFERROR(__xludf.DUMMYFUNCTION("""COMPUTED_VALUE"""),"08.04.2022 ДР")</f>
        <v>08.04.2022 ДР</v>
      </c>
      <c r="AA299" t="str">
        <f ca="1">IFERROR(__xludf.DUMMYFUNCTION("""COMPUTED_VALUE"""),"11-217")</f>
        <v>11-217</v>
      </c>
      <c r="AB299" t="str">
        <f ca="1">IFERROR(__xludf.DUMMYFUNCTION("""COMPUTED_VALUE"""),"40 ОД")</f>
        <v>40 ОД</v>
      </c>
      <c r="AC299" t="str">
        <f ca="1">IFERROR(__xludf.DUMMYFUNCTION("""COMPUTED_VALUE"""),"41190 ПОМОШНАЯ")</f>
        <v>41190 ПОМОШНАЯ</v>
      </c>
      <c r="AD299" t="str">
        <f ca="1">IFERROR(__xludf.DUMMYFUNCTION("""COMPUTED_VALUE"""),"31.03.21 08-45")</f>
        <v>31.03.21 08-45</v>
      </c>
      <c r="AE299" t="str">
        <f ca="1">IFERROR(__xludf.DUMMYFUNCTION("""COMPUTED_VALUE"""),"570 ИCТEК КAЛЕНДАРНЫЙ CPOК ДEПOВCКОГО PEМOНТA")</f>
        <v>570 ИCТEК КAЛЕНДАРНЫЙ CPOК ДEПOВCКОГО PEМOНТA</v>
      </c>
      <c r="AF299" t="str">
        <f ca="1">IFERROR(__xludf.DUMMYFUNCTION("""COMPUTED_VALUE"""),"40 ОД")</f>
        <v>40 ОД</v>
      </c>
      <c r="AG299" t="str">
        <f ca="1">IFERROR(__xludf.DUMMYFUNCTION("""COMPUTED_VALUE"""),"41190 ПОМОШНАЯ")</f>
        <v>41190 ПОМОШНАЯ</v>
      </c>
      <c r="AH299" t="str">
        <f ca="1">IFERROR(__xludf.DUMMYFUNCTION("""COMPUTED_VALUE"""),"08.04.21 15-25")</f>
        <v>08.04.21 15-25</v>
      </c>
      <c r="AI299" s="21">
        <f ca="1">IFERROR(__xludf.DUMMYFUNCTION("""COMPUTED_VALUE"""),44420.3576851851)</f>
        <v>44420.357685185103</v>
      </c>
    </row>
    <row r="300" spans="1:35" ht="13" x14ac:dyDescent="0.15">
      <c r="A300">
        <f ca="1">IFERROR(__xludf.DUMMYFUNCTION("""COMPUTED_VALUE"""),1635)</f>
        <v>1635</v>
      </c>
      <c r="B300" t="str">
        <f ca="1">IFERROR(__xludf.DUMMYFUNCTION("""COMPUTED_VALUE"""),"ВИК")</f>
        <v>ВИК</v>
      </c>
      <c r="C300" t="str">
        <f ca="1">IFERROR(__xludf.DUMMYFUNCTION("""COMPUTED_VALUE"""),"ВИК")</f>
        <v>ВИК</v>
      </c>
      <c r="D300">
        <f ca="1">IFERROR(__xludf.DUMMYFUNCTION("""COMPUTED_VALUE"""),24057044)</f>
        <v>24057044</v>
      </c>
      <c r="E300" t="str">
        <f ca="1">IFERROR(__xludf.DUMMYFUNCTION("""COMPUTED_VALUE"""),"20 КРЫТЫЕ")</f>
        <v>20 КРЫТЫЕ</v>
      </c>
      <c r="F300">
        <f ca="1">IFERROR(__xludf.DUMMYFUNCTION("""COMPUTED_VALUE"""),42103)</f>
        <v>42103</v>
      </c>
      <c r="G300" t="str">
        <f ca="1">IFERROR(__xludf.DUMMYFUNCTION("""COMPUTED_VALUE"""),"ВАГОНЫ ЖД СВ")</f>
        <v>ВАГОНЫ ЖД СВ</v>
      </c>
      <c r="H300">
        <f ca="1">IFERROR(__xludf.DUMMYFUNCTION("""COMPUTED_VALUE"""),0)</f>
        <v>0</v>
      </c>
      <c r="I300">
        <f ca="1">IFERROR(__xludf.DUMMYFUNCTION("""COMPUTED_VALUE"""),4026)</f>
        <v>4026</v>
      </c>
      <c r="J300" t="str">
        <f ca="1">IFERROR(__xludf.DUMMYFUNCTION("""COMPUTED_VALUE"""),"3510 (48620-089-48630) ВОЛНОВАХА - ВЕЛИКО-АНАД")</f>
        <v>3510 (48620-089-48630) ВОЛНОВАХА - ВЕЛИКО-АНАД</v>
      </c>
      <c r="K300">
        <f ca="1">IFERROR(__xludf.DUMMYFUNCTION("""COMPUTED_VALUE"""),48630)</f>
        <v>48630</v>
      </c>
      <c r="L300" t="str">
        <f ca="1">IFERROR(__xludf.DUMMYFUNCTION("""COMPUTED_VALUE"""),"ВЕЛИКО-АНАД")</f>
        <v>ВЕЛИКО-АНАД</v>
      </c>
      <c r="M300" t="str">
        <f ca="1">IFERROR(__xludf.DUMMYFUNCTION("""COMPUTED_VALUE"""),"03.08.21 22-00")</f>
        <v>03.08.21 22-00</v>
      </c>
      <c r="N300" t="str">
        <f ca="1">IFERROR(__xludf.DUMMYFUNCTION("""COMPUTED_VALUE"""),"98 ОТОТ")</f>
        <v>98 ОТОТ</v>
      </c>
      <c r="O300">
        <f ca="1">IFERROR(__xludf.DUMMYFUNCTION("""COMPUTED_VALUE"""),48630)</f>
        <v>48630</v>
      </c>
      <c r="P300" t="str">
        <f ca="1">IFERROR(__xludf.DUMMYFUNCTION("""COMPUTED_VALUE"""),"ВЕЛИКО-АНАД")</f>
        <v>ВЕЛИКО-АНАД</v>
      </c>
      <c r="Q300">
        <f ca="1">IFERROR(__xludf.DUMMYFUNCTION("""COMPUTED_VALUE"""),40510)</f>
        <v>40510</v>
      </c>
      <c r="R300" t="str">
        <f ca="1">IFERROR(__xludf.DUMMYFUNCTION("""COMPUTED_VALUE"""),"ОДЕССА-ЗАС I")</f>
        <v>ОДЕССА-ЗАС I</v>
      </c>
      <c r="S300" t="str">
        <f ca="1">IFERROR(__xludf.DUMMYFUNCTION("""COMPUTED_VALUE"""),"25.07.21 09-50")</f>
        <v>25.07.21 09-50</v>
      </c>
      <c r="T300">
        <f ca="1">IFERROR(__xludf.DUMMYFUNCTION("""COMPUTED_VALUE"""),4456)</f>
        <v>4456</v>
      </c>
      <c r="U300" t="str">
        <f ca="1">IFERROR(__xludf.DUMMYFUNCTION("""COMPUTED_VALUE"""),"29.07.2023 ТР-1")</f>
        <v>29.07.2023 ТР-1</v>
      </c>
      <c r="AA300" t="str">
        <f ca="1">IFERROR(__xludf.DUMMYFUNCTION("""COMPUTED_VALUE"""),"11-217")</f>
        <v>11-217</v>
      </c>
      <c r="AB300" t="str">
        <f ca="1">IFERROR(__xludf.DUMMYFUNCTION("""COMPUTED_VALUE"""),"40 ОД")</f>
        <v>40 ОД</v>
      </c>
      <c r="AC300" t="str">
        <f ca="1">IFERROR(__xludf.DUMMYFUNCTION("""COMPUTED_VALUE"""),"41190 ПОМОШНАЯ")</f>
        <v>41190 ПОМОШНАЯ</v>
      </c>
      <c r="AD300" t="str">
        <f ca="1">IFERROR(__xludf.DUMMYFUNCTION("""COMPUTED_VALUE"""),"14.08.20 08-00")</f>
        <v>14.08.20 08-00</v>
      </c>
      <c r="AE300" t="str">
        <f ca="1">IFERROR(__xludf.DUMMYFUNCTION("""COMPUTED_VALUE"""),"570 ИCТEК КAЛЕНДАРНЫЙ CPOК ДEПOВCКОГО PEМOНТA")</f>
        <v>570 ИCТEК КAЛЕНДАРНЫЙ CPOК ДEПOВCКОГО PEМOНТA</v>
      </c>
      <c r="AF300" t="str">
        <f ca="1">IFERROR(__xludf.DUMMYFUNCTION("""COMPUTED_VALUE"""),"40 ОД")</f>
        <v>40 ОД</v>
      </c>
      <c r="AG300" t="str">
        <f ca="1">IFERROR(__xludf.DUMMYFUNCTION("""COMPUTED_VALUE"""),"41190 ПОМОШНАЯ")</f>
        <v>41190 ПОМОШНАЯ</v>
      </c>
      <c r="AH300" t="str">
        <f ca="1">IFERROR(__xludf.DUMMYFUNCTION("""COMPUTED_VALUE"""),"17.08.20 14-00")</f>
        <v>17.08.20 14-00</v>
      </c>
      <c r="AI300" s="21">
        <f ca="1">IFERROR(__xludf.DUMMYFUNCTION("""COMPUTED_VALUE"""),44420.3576851851)</f>
        <v>44420.357685185103</v>
      </c>
    </row>
    <row r="301" spans="1:35" ht="13" x14ac:dyDescent="0.15">
      <c r="A301">
        <f ca="1">IFERROR(__xludf.DUMMYFUNCTION("""COMPUTED_VALUE"""),1636)</f>
        <v>1636</v>
      </c>
      <c r="B301" t="str">
        <f ca="1">IFERROR(__xludf.DUMMYFUNCTION("""COMPUTED_VALUE"""),"ВИК")</f>
        <v>ВИК</v>
      </c>
      <c r="C301" t="str">
        <f ca="1">IFERROR(__xludf.DUMMYFUNCTION("""COMPUTED_VALUE"""),"ВИК")</f>
        <v>ВИК</v>
      </c>
      <c r="D301">
        <f ca="1">IFERROR(__xludf.DUMMYFUNCTION("""COMPUTED_VALUE"""),24057101)</f>
        <v>24057101</v>
      </c>
      <c r="E301" t="str">
        <f ca="1">IFERROR(__xludf.DUMMYFUNCTION("""COMPUTED_VALUE"""),"20 КРЫТЫЕ")</f>
        <v>20 КРЫТЫЕ</v>
      </c>
      <c r="F301">
        <f ca="1">IFERROR(__xludf.DUMMYFUNCTION("""COMPUTED_VALUE"""),23304)</f>
        <v>23304</v>
      </c>
      <c r="G301" t="str">
        <f ca="1">IFERROR(__xludf.DUMMYFUNCTION("""COMPUTED_VALUE"""),"ГИПС ПР")</f>
        <v>ГИПС ПР</v>
      </c>
      <c r="H301">
        <f ca="1">IFERROR(__xludf.DUMMYFUNCTION("""COMPUTED_VALUE"""),68)</f>
        <v>68</v>
      </c>
      <c r="I301">
        <f ca="1">IFERROR(__xludf.DUMMYFUNCTION("""COMPUTED_VALUE"""),4014)</f>
        <v>4014</v>
      </c>
      <c r="J301" t="str">
        <f ca="1">IFERROR(__xludf.DUMMYFUNCTION("""COMPUTED_VALUE"""),"0000 (00000-000-00000)  -")</f>
        <v>0000 (00000-000-00000)  -</v>
      </c>
      <c r="K301">
        <f ca="1">IFERROR(__xludf.DUMMYFUNCTION("""COMPUTED_VALUE"""),32000)</f>
        <v>32000</v>
      </c>
      <c r="L301" t="str">
        <f ca="1">IFERROR(__xludf.DUMMYFUNCTION("""COMPUTED_VALUE"""),"ДАРНИЦА")</f>
        <v>ДАРНИЦА</v>
      </c>
      <c r="M301" t="str">
        <f ca="1">IFERROR(__xludf.DUMMYFUNCTION("""COMPUTED_VALUE"""),"10.08.21 13-48")</f>
        <v>10.08.21 13-48</v>
      </c>
      <c r="N301" t="str">
        <f ca="1">IFERROR(__xludf.DUMMYFUNCTION("""COMPUTED_VALUE"""),"73 КОРР")</f>
        <v>73 КОРР</v>
      </c>
      <c r="O301">
        <f ca="1">IFERROR(__xludf.DUMMYFUNCTION("""COMPUTED_VALUE"""),32000)</f>
        <v>32000</v>
      </c>
      <c r="P301" t="str">
        <f ca="1">IFERROR(__xludf.DUMMYFUNCTION("""COMPUTED_VALUE"""),"ДАРНИЦА")</f>
        <v>ДАРНИЦА</v>
      </c>
      <c r="Q301">
        <f ca="1">IFERROR(__xludf.DUMMYFUNCTION("""COMPUTED_VALUE"""),49620)</f>
        <v>49620</v>
      </c>
      <c r="R301" t="str">
        <f ca="1">IFERROR(__xludf.DUMMYFUNCTION("""COMPUTED_VALUE"""),"ДЕКОНСКАЯ")</f>
        <v>ДЕКОНСКАЯ</v>
      </c>
      <c r="S301" t="str">
        <f ca="1">IFERROR(__xludf.DUMMYFUNCTION("""COMPUTED_VALUE"""),"04.08.21 11-30")</f>
        <v>04.08.21 11-30</v>
      </c>
      <c r="T301">
        <f ca="1">IFERROR(__xludf.DUMMYFUNCTION("""COMPUTED_VALUE"""),4149)</f>
        <v>4149</v>
      </c>
      <c r="U301" t="str">
        <f ca="1">IFERROR(__xludf.DUMMYFUNCTION("""COMPUTED_VALUE"""),"08.05.2022 ДР")</f>
        <v>08.05.2022 ДР</v>
      </c>
      <c r="AA301" t="str">
        <f ca="1">IFERROR(__xludf.DUMMYFUNCTION("""COMPUTED_VALUE"""),"11-217")</f>
        <v>11-217</v>
      </c>
      <c r="AB301" t="str">
        <f ca="1">IFERROR(__xludf.DUMMYFUNCTION("""COMPUTED_VALUE"""),"48 ДОН")</f>
        <v>48 ДОН</v>
      </c>
      <c r="AC301" t="str">
        <f ca="1">IFERROR(__xludf.DUMMYFUNCTION("""COMPUTED_VALUE"""),"49000 ЛИМАН")</f>
        <v>49000 ЛИМАН</v>
      </c>
      <c r="AD301" t="str">
        <f ca="1">IFERROR(__xludf.DUMMYFUNCTION("""COMPUTED_VALUE"""),"06.07.21 18-06")</f>
        <v>06.07.21 18-06</v>
      </c>
      <c r="AE301" t="str">
        <f ca="1">IFERROR(__xludf.DUMMYFUNCTION("""COMPUTED_VALUE"""),"214 ИЗЛOМ ПPУЖИН")</f>
        <v>214 ИЗЛOМ ПPУЖИН</v>
      </c>
      <c r="AF301" t="str">
        <f ca="1">IFERROR(__xludf.DUMMYFUNCTION("""COMPUTED_VALUE"""),"48 ДОН")</f>
        <v>48 ДОН</v>
      </c>
      <c r="AG301" t="str">
        <f ca="1">IFERROR(__xludf.DUMMYFUNCTION("""COMPUTED_VALUE"""),"49000 ЛИМАН")</f>
        <v>49000 ЛИМАН</v>
      </c>
      <c r="AH301" t="str">
        <f ca="1">IFERROR(__xludf.DUMMYFUNCTION("""COMPUTED_VALUE"""),"14.07.21 18-00")</f>
        <v>14.07.21 18-00</v>
      </c>
      <c r="AI301" s="21">
        <f ca="1">IFERROR(__xludf.DUMMYFUNCTION("""COMPUTED_VALUE"""),44420.3576851851)</f>
        <v>44420.357685185103</v>
      </c>
    </row>
    <row r="302" spans="1:35" ht="13" x14ac:dyDescent="0.15">
      <c r="A302">
        <f ca="1">IFERROR(__xludf.DUMMYFUNCTION("""COMPUTED_VALUE"""),1637)</f>
        <v>1637</v>
      </c>
      <c r="B302" t="str">
        <f ca="1">IFERROR(__xludf.DUMMYFUNCTION("""COMPUTED_VALUE"""),"ВИК")</f>
        <v>ВИК</v>
      </c>
      <c r="C302" t="str">
        <f ca="1">IFERROR(__xludf.DUMMYFUNCTION("""COMPUTED_VALUE"""),"ВИК")</f>
        <v>ВИК</v>
      </c>
      <c r="D302">
        <f ca="1">IFERROR(__xludf.DUMMYFUNCTION("""COMPUTED_VALUE"""),24057150)</f>
        <v>24057150</v>
      </c>
      <c r="E302" t="str">
        <f ca="1">IFERROR(__xludf.DUMMYFUNCTION("""COMPUTED_VALUE"""),"20 КРЫТЫЕ")</f>
        <v>20 КРЫТЫЕ</v>
      </c>
      <c r="F302">
        <f ca="1">IFERROR(__xludf.DUMMYFUNCTION("""COMPUTED_VALUE"""),23304)</f>
        <v>23304</v>
      </c>
      <c r="G302" t="str">
        <f ca="1">IFERROR(__xludf.DUMMYFUNCTION("""COMPUTED_VALUE"""),"ГИПС ПР")</f>
        <v>ГИПС ПР</v>
      </c>
      <c r="H302">
        <f ca="1">IFERROR(__xludf.DUMMYFUNCTION("""COMPUTED_VALUE"""),68)</f>
        <v>68</v>
      </c>
      <c r="I302">
        <f ca="1">IFERROR(__xludf.DUMMYFUNCTION("""COMPUTED_VALUE"""),2188)</f>
        <v>2188</v>
      </c>
      <c r="J302" t="str">
        <f ca="1">IFERROR(__xludf.DUMMYFUNCTION("""COMPUTED_VALUE"""),"2755 (33000-413-36000) ЖМЕРИНКА - ТЕРНОПОЛЬ")</f>
        <v>2755 (33000-413-36000) ЖМЕРИНКА - ТЕРНОПОЛЬ</v>
      </c>
      <c r="K302">
        <f ca="1">IFERROR(__xludf.DUMMYFUNCTION("""COMPUTED_VALUE"""),36000)</f>
        <v>36000</v>
      </c>
      <c r="L302" t="str">
        <f ca="1">IFERROR(__xludf.DUMMYFUNCTION("""COMPUTED_VALUE"""),"ТЕРНОПОЛЬ")</f>
        <v>ТЕРНОПОЛЬ</v>
      </c>
      <c r="M302" t="str">
        <f ca="1">IFERROR(__xludf.DUMMYFUNCTION("""COMPUTED_VALUE"""),"12.08.21 00-15")</f>
        <v>12.08.21 00-15</v>
      </c>
      <c r="N302" t="str">
        <f ca="1">IFERROR(__xludf.DUMMYFUNCTION("""COMPUTED_VALUE"""),"01 ПРИБ")</f>
        <v>01 ПРИБ</v>
      </c>
      <c r="O302">
        <f ca="1">IFERROR(__xludf.DUMMYFUNCTION("""COMPUTED_VALUE"""),36000)</f>
        <v>36000</v>
      </c>
      <c r="P302" t="str">
        <f ca="1">IFERROR(__xludf.DUMMYFUNCTION("""COMPUTED_VALUE"""),"ТЕРНОПОЛЬ")</f>
        <v>ТЕРНОПОЛЬ</v>
      </c>
      <c r="Q302">
        <f ca="1">IFERROR(__xludf.DUMMYFUNCTION("""COMPUTED_VALUE"""),49620)</f>
        <v>49620</v>
      </c>
      <c r="R302" t="str">
        <f ca="1">IFERROR(__xludf.DUMMYFUNCTION("""COMPUTED_VALUE"""),"ДЕКОНСКАЯ")</f>
        <v>ДЕКОНСКАЯ</v>
      </c>
      <c r="S302" t="str">
        <f ca="1">IFERROR(__xludf.DUMMYFUNCTION("""COMPUTED_VALUE"""),"05.08.21 09-00")</f>
        <v>05.08.21 09-00</v>
      </c>
      <c r="T302">
        <f ca="1">IFERROR(__xludf.DUMMYFUNCTION("""COMPUTED_VALUE"""),4149)</f>
        <v>4149</v>
      </c>
      <c r="U302" t="str">
        <f ca="1">IFERROR(__xludf.DUMMYFUNCTION("""COMPUTED_VALUE"""),"11.08.2023 ДР")</f>
        <v>11.08.2023 ДР</v>
      </c>
      <c r="AA302" t="str">
        <f ca="1">IFERROR(__xludf.DUMMYFUNCTION("""COMPUTED_VALUE"""),"11-217")</f>
        <v>11-217</v>
      </c>
      <c r="AB302" t="str">
        <f ca="1">IFERROR(__xludf.DUMMYFUNCTION("""COMPUTED_VALUE"""),"40 ОД")</f>
        <v>40 ОД</v>
      </c>
      <c r="AC302" t="str">
        <f ca="1">IFERROR(__xludf.DUMMYFUNCTION("""COMPUTED_VALUE"""),"41190 ПОМОШНАЯ")</f>
        <v>41190 ПОМОШНАЯ</v>
      </c>
      <c r="AD302" t="str">
        <f ca="1">IFERROR(__xludf.DUMMYFUNCTION("""COMPUTED_VALUE"""),"08.08.20 09-00")</f>
        <v>08.08.20 09-00</v>
      </c>
      <c r="AE302" t="str">
        <f ca="1">IFERROR(__xludf.DUMMYFUNCTION("""COMPUTED_VALUE"""),"570 ИCТEК КAЛЕНДАРНЫЙ CPOК ДEПOВCКОГО PEМOНТA")</f>
        <v>570 ИCТEК КAЛЕНДАРНЫЙ CPOК ДEПOВCКОГО PEМOНТA</v>
      </c>
      <c r="AF302" t="str">
        <f ca="1">IFERROR(__xludf.DUMMYFUNCTION("""COMPUTED_VALUE"""),"40 ОД")</f>
        <v>40 ОД</v>
      </c>
      <c r="AG302" t="str">
        <f ca="1">IFERROR(__xludf.DUMMYFUNCTION("""COMPUTED_VALUE"""),"41190 ПОМОШНАЯ")</f>
        <v>41190 ПОМОШНАЯ</v>
      </c>
      <c r="AH302" t="str">
        <f ca="1">IFERROR(__xludf.DUMMYFUNCTION("""COMPUTED_VALUE"""),"11.08.20 15-00")</f>
        <v>11.08.20 15-00</v>
      </c>
      <c r="AI302" s="21">
        <f ca="1">IFERROR(__xludf.DUMMYFUNCTION("""COMPUTED_VALUE"""),44420.3576851851)</f>
        <v>44420.357685185103</v>
      </c>
    </row>
    <row r="303" spans="1:35" ht="13" x14ac:dyDescent="0.15">
      <c r="A303">
        <f ca="1">IFERROR(__xludf.DUMMYFUNCTION("""COMPUTED_VALUE"""),1638)</f>
        <v>1638</v>
      </c>
      <c r="B303" t="str">
        <f ca="1">IFERROR(__xludf.DUMMYFUNCTION("""COMPUTED_VALUE"""),"ВИК")</f>
        <v>ВИК</v>
      </c>
      <c r="C303" t="str">
        <f ca="1">IFERROR(__xludf.DUMMYFUNCTION("""COMPUTED_VALUE"""),"ВИК")</f>
        <v>ВИК</v>
      </c>
      <c r="D303">
        <f ca="1">IFERROR(__xludf.DUMMYFUNCTION("""COMPUTED_VALUE"""),24057168)</f>
        <v>24057168</v>
      </c>
      <c r="E303" t="str">
        <f ca="1">IFERROR(__xludf.DUMMYFUNCTION("""COMPUTED_VALUE"""),"20 КРЫТЫЕ")</f>
        <v>20 КРЫТЫЕ</v>
      </c>
      <c r="F303">
        <f ca="1">IFERROR(__xludf.DUMMYFUNCTION("""COMPUTED_VALUE"""),23304)</f>
        <v>23304</v>
      </c>
      <c r="G303" t="str">
        <f ca="1">IFERROR(__xludf.DUMMYFUNCTION("""COMPUTED_VALUE"""),"ГИПС ПР")</f>
        <v>ГИПС ПР</v>
      </c>
      <c r="H303">
        <f ca="1">IFERROR(__xludf.DUMMYFUNCTION("""COMPUTED_VALUE"""),68)</f>
        <v>68</v>
      </c>
      <c r="I303">
        <f ca="1">IFERROR(__xludf.DUMMYFUNCTION("""COMPUTED_VALUE"""),3817)</f>
        <v>3817</v>
      </c>
      <c r="J303" t="str">
        <f ca="1">IFERROR(__xludf.DUMMYFUNCTION("""COMPUTED_VALUE"""),"1111 (49460-043-49000) БАХМУТ - ЛИМАН")</f>
        <v>1111 (49460-043-49000) БАХМУТ - ЛИМАН</v>
      </c>
      <c r="K303">
        <f ca="1">IFERROR(__xludf.DUMMYFUNCTION("""COMPUTED_VALUE"""),49460)</f>
        <v>49460</v>
      </c>
      <c r="L303" t="str">
        <f ca="1">IFERROR(__xludf.DUMMYFUNCTION("""COMPUTED_VALUE"""),"БАХМУТ")</f>
        <v>БАХМУТ</v>
      </c>
      <c r="M303" t="str">
        <f ca="1">IFERROR(__xludf.DUMMYFUNCTION("""COMPUTED_VALUE"""),"12.08.21 04-00")</f>
        <v>12.08.21 04-00</v>
      </c>
      <c r="N303" t="str">
        <f ca="1">IFERROR(__xludf.DUMMYFUNCTION("""COMPUTED_VALUE"""),"05 ФОРМ")</f>
        <v>05 ФОРМ</v>
      </c>
      <c r="O303">
        <f ca="1">IFERROR(__xludf.DUMMYFUNCTION("""COMPUTED_VALUE"""),40510)</f>
        <v>40510</v>
      </c>
      <c r="P303" t="str">
        <f ca="1">IFERROR(__xludf.DUMMYFUNCTION("""COMPUTED_VALUE"""),"ОДЕССА-ЗАС I")</f>
        <v>ОДЕССА-ЗАС I</v>
      </c>
      <c r="Q303">
        <f ca="1">IFERROR(__xludf.DUMMYFUNCTION("""COMPUTED_VALUE"""),49620)</f>
        <v>49620</v>
      </c>
      <c r="R303" t="str">
        <f ca="1">IFERROR(__xludf.DUMMYFUNCTION("""COMPUTED_VALUE"""),"ДЕКОНСКАЯ")</f>
        <v>ДЕКОНСКАЯ</v>
      </c>
      <c r="S303" t="str">
        <f ca="1">IFERROR(__xludf.DUMMYFUNCTION("""COMPUTED_VALUE"""),"11.08.21 09-30")</f>
        <v>11.08.21 09-30</v>
      </c>
      <c r="T303">
        <f ca="1">IFERROR(__xludf.DUMMYFUNCTION("""COMPUTED_VALUE"""),4149)</f>
        <v>4149</v>
      </c>
      <c r="U303" t="str">
        <f ca="1">IFERROR(__xludf.DUMMYFUNCTION("""COMPUTED_VALUE"""),"27.04.2022 ДР")</f>
        <v>27.04.2022 ДР</v>
      </c>
      <c r="AA303" t="str">
        <f ca="1">IFERROR(__xludf.DUMMYFUNCTION("""COMPUTED_VALUE"""),"11-217")</f>
        <v>11-217</v>
      </c>
      <c r="AB303" t="str">
        <f ca="1">IFERROR(__xludf.DUMMYFUNCTION("""COMPUTED_VALUE"""),"43 ЮЖН")</f>
        <v>43 ЮЖН</v>
      </c>
      <c r="AC303" t="str">
        <f ca="1">IFERROR(__xludf.DUMMYFUNCTION("""COMPUTED_VALUE"""),"44020 ОСНОВА")</f>
        <v>44020 ОСНОВА</v>
      </c>
      <c r="AD303" t="str">
        <f ca="1">IFERROR(__xludf.DUMMYFUNCTION("""COMPUTED_VALUE"""),"04.06.21 09-40")</f>
        <v>04.06.21 09-40</v>
      </c>
      <c r="AE303" t="str">
        <f ca="1">IFERROR(__xludf.DUMMYFUNCTION("""COMPUTED_VALUE"""),"537 НEИCПPAВНOCТЬ ЗAПOPA ДВEPИ")</f>
        <v>537 НEИCПPAВНOCТЬ ЗAПOPA ДВEPИ</v>
      </c>
      <c r="AF303" t="str">
        <f ca="1">IFERROR(__xludf.DUMMYFUNCTION("""COMPUTED_VALUE"""),"43 ЮЖН")</f>
        <v>43 ЮЖН</v>
      </c>
      <c r="AG303" t="str">
        <f ca="1">IFERROR(__xludf.DUMMYFUNCTION("""COMPUTED_VALUE"""),"44020 ОСНОВА")</f>
        <v>44020 ОСНОВА</v>
      </c>
      <c r="AH303" t="str">
        <f ca="1">IFERROR(__xludf.DUMMYFUNCTION("""COMPUTED_VALUE"""),"08.06.21 17-15")</f>
        <v>08.06.21 17-15</v>
      </c>
      <c r="AI303" s="21">
        <f ca="1">IFERROR(__xludf.DUMMYFUNCTION("""COMPUTED_VALUE"""),44420.3576851851)</f>
        <v>44420.357685185103</v>
      </c>
    </row>
    <row r="304" spans="1:35" ht="13" x14ac:dyDescent="0.15">
      <c r="A304">
        <f ca="1">IFERROR(__xludf.DUMMYFUNCTION("""COMPUTED_VALUE"""),1639)</f>
        <v>1639</v>
      </c>
      <c r="B304" t="str">
        <f ca="1">IFERROR(__xludf.DUMMYFUNCTION("""COMPUTED_VALUE"""),"ВИК")</f>
        <v>ВИК</v>
      </c>
      <c r="C304" t="str">
        <f ca="1">IFERROR(__xludf.DUMMYFUNCTION("""COMPUTED_VALUE"""),"ВИК")</f>
        <v>ВИК</v>
      </c>
      <c r="D304">
        <f ca="1">IFERROR(__xludf.DUMMYFUNCTION("""COMPUTED_VALUE"""),24057242)</f>
        <v>24057242</v>
      </c>
      <c r="E304" t="str">
        <f ca="1">IFERROR(__xludf.DUMMYFUNCTION("""COMPUTED_VALUE"""),"20 КРЫТЫЕ")</f>
        <v>20 КРЫТЫЕ</v>
      </c>
      <c r="F304">
        <f ca="1">IFERROR(__xludf.DUMMYFUNCTION("""COMPUTED_VALUE"""),42103)</f>
        <v>42103</v>
      </c>
      <c r="G304" t="str">
        <f ca="1">IFERROR(__xludf.DUMMYFUNCTION("""COMPUTED_VALUE"""),"ВАГОНЫ ЖД СВ")</f>
        <v>ВАГОНЫ ЖД СВ</v>
      </c>
      <c r="H304">
        <f ca="1">IFERROR(__xludf.DUMMYFUNCTION("""COMPUTED_VALUE"""),0)</f>
        <v>0</v>
      </c>
      <c r="I304">
        <f ca="1">IFERROR(__xludf.DUMMYFUNCTION("""COMPUTED_VALUE"""),1111)</f>
        <v>1111</v>
      </c>
      <c r="J304" t="str">
        <f ca="1">IFERROR(__xludf.DUMMYFUNCTION("""COMPUTED_VALUE"""),"3101 (34800-054-34000) НОВОГР-ВОЛ I - ШЕПЕТОВКА")</f>
        <v>3101 (34800-054-34000) НОВОГР-ВОЛ I - ШЕПЕТОВКА</v>
      </c>
      <c r="K304">
        <f ca="1">IFERROR(__xludf.DUMMYFUNCTION("""COMPUTED_VALUE"""),34000)</f>
        <v>34000</v>
      </c>
      <c r="L304" t="str">
        <f ca="1">IFERROR(__xludf.DUMMYFUNCTION("""COMPUTED_VALUE"""),"ШЕПЕТОВКА")</f>
        <v>ШЕПЕТОВКА</v>
      </c>
      <c r="M304" t="str">
        <f ca="1">IFERROR(__xludf.DUMMYFUNCTION("""COMPUTED_VALUE"""),"10.08.21 22-15")</f>
        <v>10.08.21 22-15</v>
      </c>
      <c r="N304" t="str">
        <f ca="1">IFERROR(__xludf.DUMMYFUNCTION("""COMPUTED_VALUE"""),"51 ПРИБ")</f>
        <v>51 ПРИБ</v>
      </c>
      <c r="O304">
        <f ca="1">IFERROR(__xludf.DUMMYFUNCTION("""COMPUTED_VALUE"""),35260)</f>
        <v>35260</v>
      </c>
      <c r="P304" t="str">
        <f ca="1">IFERROR(__xludf.DUMMYFUNCTION("""COMPUTED_VALUE"""),"ИЗОВ-Э-ПКП")</f>
        <v>ИЗОВ-Э-ПКП</v>
      </c>
      <c r="Q304">
        <f ca="1">IFERROR(__xludf.DUMMYFUNCTION("""COMPUTED_VALUE"""),34800)</f>
        <v>34800</v>
      </c>
      <c r="R304" t="str">
        <f ca="1">IFERROR(__xludf.DUMMYFUNCTION("""COMPUTED_VALUE"""),"НОВОГР-ВОЛ I")</f>
        <v>НОВОГР-ВОЛ I</v>
      </c>
      <c r="S304" t="str">
        <f ca="1">IFERROR(__xludf.DUMMYFUNCTION("""COMPUTED_VALUE"""),"10.08.21 16-40")</f>
        <v>10.08.21 16-40</v>
      </c>
      <c r="T304">
        <f ca="1">IFERROR(__xludf.DUMMYFUNCTION("""COMPUTED_VALUE"""),4456)</f>
        <v>4456</v>
      </c>
      <c r="U304" t="str">
        <f ca="1">IFERROR(__xludf.DUMMYFUNCTION("""COMPUTED_VALUE"""),"06.05.2022 ДР")</f>
        <v>06.05.2022 ДР</v>
      </c>
      <c r="AA304" t="str">
        <f ca="1">IFERROR(__xludf.DUMMYFUNCTION("""COMPUTED_VALUE"""),"11-217")</f>
        <v>11-217</v>
      </c>
      <c r="AB304" t="str">
        <f ca="1">IFERROR(__xludf.DUMMYFUNCTION("""COMPUTED_VALUE"""),"35 ЛЬВ")</f>
        <v>35 ЛЬВ</v>
      </c>
      <c r="AC304" t="str">
        <f ca="1">IFERROR(__xludf.DUMMYFUNCTION("""COMPUTED_VALUE"""),"35250 ИЗОВ")</f>
        <v>35250 ИЗОВ</v>
      </c>
      <c r="AD304" t="str">
        <f ca="1">IFERROR(__xludf.DUMMYFUNCTION("""COMPUTED_VALUE"""),"24.05.21 08-01")</f>
        <v>24.05.21 08-01</v>
      </c>
      <c r="AE304" t="str">
        <f ca="1">IFERROR(__xludf.DUMMYFUNCTION("""COMPUTED_VALUE"""),"440 OCЛAБЛЕНИЕ КPEПЛЕНИЯ ТPУБ ВОЗДУХОПРОВОДА И ТОРМОЗНЫХ ПРИБОРОВ")</f>
        <v>440 OCЛAБЛЕНИЕ КPEПЛЕНИЯ ТPУБ ВОЗДУХОПРОВОДА И ТОРМОЗНЫХ ПРИБОРОВ</v>
      </c>
      <c r="AF304" t="str">
        <f ca="1">IFERROR(__xludf.DUMMYFUNCTION("""COMPUTED_VALUE"""),"35 ЛЬВ")</f>
        <v>35 ЛЬВ</v>
      </c>
      <c r="AG304" t="str">
        <f ca="1">IFERROR(__xludf.DUMMYFUNCTION("""COMPUTED_VALUE"""),"35250 ИЗОВ")</f>
        <v>35250 ИЗОВ</v>
      </c>
      <c r="AH304" t="str">
        <f ca="1">IFERROR(__xludf.DUMMYFUNCTION("""COMPUTED_VALUE"""),"24.05.21 15-30")</f>
        <v>24.05.21 15-30</v>
      </c>
      <c r="AI304" s="21">
        <f ca="1">IFERROR(__xludf.DUMMYFUNCTION("""COMPUTED_VALUE"""),44420.3576851851)</f>
        <v>44420.357685185103</v>
      </c>
    </row>
    <row r="305" spans="1:35" ht="13" x14ac:dyDescent="0.15">
      <c r="A305">
        <f ca="1">IFERROR(__xludf.DUMMYFUNCTION("""COMPUTED_VALUE"""),1640)</f>
        <v>1640</v>
      </c>
      <c r="B305" t="str">
        <f ca="1">IFERROR(__xludf.DUMMYFUNCTION("""COMPUTED_VALUE"""),"ВИК")</f>
        <v>ВИК</v>
      </c>
      <c r="C305" t="str">
        <f ca="1">IFERROR(__xludf.DUMMYFUNCTION("""COMPUTED_VALUE"""),"ВИК")</f>
        <v>ВИК</v>
      </c>
      <c r="D305">
        <f ca="1">IFERROR(__xludf.DUMMYFUNCTION("""COMPUTED_VALUE"""),24057275)</f>
        <v>24057275</v>
      </c>
      <c r="E305" t="str">
        <f ca="1">IFERROR(__xludf.DUMMYFUNCTION("""COMPUTED_VALUE"""),"20 КРЫТЫЕ")</f>
        <v>20 КРЫТЫЕ</v>
      </c>
      <c r="F305">
        <f ca="1">IFERROR(__xludf.DUMMYFUNCTION("""COMPUTED_VALUE"""),23304)</f>
        <v>23304</v>
      </c>
      <c r="G305" t="str">
        <f ca="1">IFERROR(__xludf.DUMMYFUNCTION("""COMPUTED_VALUE"""),"ГИПС ПР")</f>
        <v>ГИПС ПР</v>
      </c>
      <c r="H305">
        <f ca="1">IFERROR(__xludf.DUMMYFUNCTION("""COMPUTED_VALUE"""),62)</f>
        <v>62</v>
      </c>
      <c r="I305">
        <f ca="1">IFERROR(__xludf.DUMMYFUNCTION("""COMPUTED_VALUE"""),3314)</f>
        <v>3314</v>
      </c>
      <c r="J305" t="str">
        <f ca="1">IFERROR(__xludf.DUMMYFUNCTION("""COMPUTED_VALUE"""),"2223 (44020-103-37040) ОСНОВА - КЛЕПАРОВ")</f>
        <v>2223 (44020-103-37040) ОСНОВА - КЛЕПАРОВ</v>
      </c>
      <c r="K305">
        <f ca="1">IFERROR(__xludf.DUMMYFUNCTION("""COMPUTED_VALUE"""),37040)</f>
        <v>37040</v>
      </c>
      <c r="L305" t="str">
        <f ca="1">IFERROR(__xludf.DUMMYFUNCTION("""COMPUTED_VALUE"""),"КЛЕПАРОВ")</f>
        <v>КЛЕПАРОВ</v>
      </c>
      <c r="M305" t="str">
        <f ca="1">IFERROR(__xludf.DUMMYFUNCTION("""COMPUTED_VALUE"""),"12.08.21 06-19")</f>
        <v>12.08.21 06-19</v>
      </c>
      <c r="N305" t="str">
        <f ca="1">IFERROR(__xludf.DUMMYFUNCTION("""COMPUTED_VALUE"""),"04 РАСФ")</f>
        <v>04 РАСФ</v>
      </c>
      <c r="O305">
        <f ca="1">IFERROR(__xludf.DUMMYFUNCTION("""COMPUTED_VALUE"""),38840)</f>
        <v>38840</v>
      </c>
      <c r="P305" t="str">
        <f ca="1">IFERROR(__xludf.DUMMYFUNCTION("""COMPUTED_VALUE"""),"ИВАНО-ФРАНК")</f>
        <v>ИВАНО-ФРАНК</v>
      </c>
      <c r="Q305">
        <f ca="1">IFERROR(__xludf.DUMMYFUNCTION("""COMPUTED_VALUE"""),49620)</f>
        <v>49620</v>
      </c>
      <c r="R305" t="str">
        <f ca="1">IFERROR(__xludf.DUMMYFUNCTION("""COMPUTED_VALUE"""),"ДЕКОНСКАЯ")</f>
        <v>ДЕКОНСКАЯ</v>
      </c>
      <c r="S305" t="str">
        <f ca="1">IFERROR(__xludf.DUMMYFUNCTION("""COMPUTED_VALUE"""),"06.08.21 09-00")</f>
        <v>06.08.21 09-00</v>
      </c>
      <c r="T305">
        <f ca="1">IFERROR(__xludf.DUMMYFUNCTION("""COMPUTED_VALUE"""),4149)</f>
        <v>4149</v>
      </c>
      <c r="U305" t="str">
        <f ca="1">IFERROR(__xludf.DUMMYFUNCTION("""COMPUTED_VALUE"""),"11.08.2023 ДР")</f>
        <v>11.08.2023 ДР</v>
      </c>
      <c r="AA305" t="str">
        <f ca="1">IFERROR(__xludf.DUMMYFUNCTION("""COMPUTED_VALUE"""),"11-217")</f>
        <v>11-217</v>
      </c>
      <c r="AB305" t="str">
        <f ca="1">IFERROR(__xludf.DUMMYFUNCTION("""COMPUTED_VALUE"""),"40 ОД")</f>
        <v>40 ОД</v>
      </c>
      <c r="AC305" t="str">
        <f ca="1">IFERROR(__xludf.DUMMYFUNCTION("""COMPUTED_VALUE"""),"41190 ПОМОШНАЯ")</f>
        <v>41190 ПОМОШНАЯ</v>
      </c>
      <c r="AD305" t="str">
        <f ca="1">IFERROR(__xludf.DUMMYFUNCTION("""COMPUTED_VALUE"""),"31.07.20 08-30")</f>
        <v>31.07.20 08-30</v>
      </c>
      <c r="AE305" t="str">
        <f ca="1">IFERROR(__xludf.DUMMYFUNCTION("""COMPUTED_VALUE"""),"570 ИCТEК КAЛЕНДАРНЫЙ CPOК ДEПOВCКОГО PEМOНТA")</f>
        <v>570 ИCТEК КAЛЕНДАРНЫЙ CPOК ДEПOВCКОГО PEМOНТA</v>
      </c>
      <c r="AF305" t="str">
        <f ca="1">IFERROR(__xludf.DUMMYFUNCTION("""COMPUTED_VALUE"""),"40 ОД")</f>
        <v>40 ОД</v>
      </c>
      <c r="AG305" t="str">
        <f ca="1">IFERROR(__xludf.DUMMYFUNCTION("""COMPUTED_VALUE"""),"41190 ПОМОШНАЯ")</f>
        <v>41190 ПОМОШНАЯ</v>
      </c>
      <c r="AH305" t="str">
        <f ca="1">IFERROR(__xludf.DUMMYFUNCTION("""COMPUTED_VALUE"""),"11.08.20 15-00")</f>
        <v>11.08.20 15-00</v>
      </c>
      <c r="AI305" s="21">
        <f ca="1">IFERROR(__xludf.DUMMYFUNCTION("""COMPUTED_VALUE"""),44420.3576851851)</f>
        <v>44420.357685185103</v>
      </c>
    </row>
    <row r="306" spans="1:35" ht="13" x14ac:dyDescent="0.15">
      <c r="A306">
        <f ca="1">IFERROR(__xludf.DUMMYFUNCTION("""COMPUTED_VALUE"""),1641)</f>
        <v>1641</v>
      </c>
      <c r="B306" t="str">
        <f ca="1">IFERROR(__xludf.DUMMYFUNCTION("""COMPUTED_VALUE"""),"ВИК")</f>
        <v>ВИК</v>
      </c>
      <c r="C306" t="str">
        <f ca="1">IFERROR(__xludf.DUMMYFUNCTION("""COMPUTED_VALUE"""),"ВИК")</f>
        <v>ВИК</v>
      </c>
      <c r="D306">
        <f ca="1">IFERROR(__xludf.DUMMYFUNCTION("""COMPUTED_VALUE"""),24057630)</f>
        <v>24057630</v>
      </c>
      <c r="E306" t="str">
        <f ca="1">IFERROR(__xludf.DUMMYFUNCTION("""COMPUTED_VALUE"""),"20 КРЫТЫЕ")</f>
        <v>20 КРЫТЫЕ</v>
      </c>
      <c r="F306">
        <f ca="1">IFERROR(__xludf.DUMMYFUNCTION("""COMPUTED_VALUE"""),23304)</f>
        <v>23304</v>
      </c>
      <c r="G306" t="str">
        <f ca="1">IFERROR(__xludf.DUMMYFUNCTION("""COMPUTED_VALUE"""),"ГИПС ПР")</f>
        <v>ГИПС ПР</v>
      </c>
      <c r="H306">
        <f ca="1">IFERROR(__xludf.DUMMYFUNCTION("""COMPUTED_VALUE"""),68)</f>
        <v>68</v>
      </c>
      <c r="I306">
        <f ca="1">IFERROR(__xludf.DUMMYFUNCTION("""COMPUTED_VALUE"""),3314)</f>
        <v>3314</v>
      </c>
      <c r="J306" t="str">
        <f ca="1">IFERROR(__xludf.DUMMYFUNCTION("""COMPUTED_VALUE"""),"2723 (44020-120-32000) ОСНОВА - ДАРНИЦА")</f>
        <v>2723 (44020-120-32000) ОСНОВА - ДАРНИЦА</v>
      </c>
      <c r="K306">
        <f ca="1">IFERROR(__xludf.DUMMYFUNCTION("""COMPUTED_VALUE"""),32000)</f>
        <v>32000</v>
      </c>
      <c r="L306" t="str">
        <f ca="1">IFERROR(__xludf.DUMMYFUNCTION("""COMPUTED_VALUE"""),"ДАРНИЦА")</f>
        <v>ДАРНИЦА</v>
      </c>
      <c r="M306" t="str">
        <f ca="1">IFERROR(__xludf.DUMMYFUNCTION("""COMPUTED_VALUE"""),"12.08.21 05-01")</f>
        <v>12.08.21 05-01</v>
      </c>
      <c r="N306" t="str">
        <f ca="1">IFERROR(__xludf.DUMMYFUNCTION("""COMPUTED_VALUE"""),"04 РАСФ")</f>
        <v>04 РАСФ</v>
      </c>
      <c r="O306">
        <f ca="1">IFERROR(__xludf.DUMMYFUNCTION("""COMPUTED_VALUE"""),32040)</f>
        <v>32040</v>
      </c>
      <c r="P306" t="str">
        <f ca="1">IFERROR(__xludf.DUMMYFUNCTION("""COMPUTED_VALUE"""),"ГРУШКИ")</f>
        <v>ГРУШКИ</v>
      </c>
      <c r="Q306">
        <f ca="1">IFERROR(__xludf.DUMMYFUNCTION("""COMPUTED_VALUE"""),49620)</f>
        <v>49620</v>
      </c>
      <c r="R306" t="str">
        <f ca="1">IFERROR(__xludf.DUMMYFUNCTION("""COMPUTED_VALUE"""),"ДЕКОНСКАЯ")</f>
        <v>ДЕКОНСКАЯ</v>
      </c>
      <c r="S306" t="str">
        <f ca="1">IFERROR(__xludf.DUMMYFUNCTION("""COMPUTED_VALUE"""),"08.08.21 00-05")</f>
        <v>08.08.21 00-05</v>
      </c>
      <c r="T306">
        <f ca="1">IFERROR(__xludf.DUMMYFUNCTION("""COMPUTED_VALUE"""),4149)</f>
        <v>4149</v>
      </c>
      <c r="U306" t="str">
        <f ca="1">IFERROR(__xludf.DUMMYFUNCTION("""COMPUTED_VALUE"""),"10.10.2022 ДР")</f>
        <v>10.10.2022 ДР</v>
      </c>
      <c r="AA306" t="str">
        <f ca="1">IFERROR(__xludf.DUMMYFUNCTION("""COMPUTED_VALUE"""),"11-217")</f>
        <v>11-217</v>
      </c>
      <c r="AB306" t="str">
        <f ca="1">IFERROR(__xludf.DUMMYFUNCTION("""COMPUTED_VALUE"""),"43 ЮЖН")</f>
        <v>43 ЮЖН</v>
      </c>
      <c r="AC306" t="str">
        <f ca="1">IFERROR(__xludf.DUMMYFUNCTION("""COMPUTED_VALUE"""),"42500 КРЕМЕНЧУГ")</f>
        <v>42500 КРЕМЕНЧУГ</v>
      </c>
      <c r="AD306" t="str">
        <f ca="1">IFERROR(__xludf.DUMMYFUNCTION("""COMPUTED_VALUE"""),"28.12.20 05-54")</f>
        <v>28.12.20 05-54</v>
      </c>
      <c r="AE306" t="str">
        <f ca="1">IFERROR(__xludf.DUMMYFUNCTION("""COMPUTED_VALUE"""),"537 НEИCПPAВНOCТЬ ЗAПOPA ДВEPИ")</f>
        <v>537 НEИCПPAВНOCТЬ ЗAПOPA ДВEPИ</v>
      </c>
      <c r="AF306" t="str">
        <f ca="1">IFERROR(__xludf.DUMMYFUNCTION("""COMPUTED_VALUE"""),"43 ЮЖН")</f>
        <v>43 ЮЖН</v>
      </c>
      <c r="AG306" t="str">
        <f ca="1">IFERROR(__xludf.DUMMYFUNCTION("""COMPUTED_VALUE"""),"42500 КРЕМЕНЧУГ")</f>
        <v>42500 КРЕМЕНЧУГ</v>
      </c>
      <c r="AH306" t="str">
        <f ca="1">IFERROR(__xludf.DUMMYFUNCTION("""COMPUTED_VALUE"""),"28.12.20 17-30")</f>
        <v>28.12.20 17-30</v>
      </c>
      <c r="AI306" s="21">
        <f ca="1">IFERROR(__xludf.DUMMYFUNCTION("""COMPUTED_VALUE"""),44420.3576851851)</f>
        <v>44420.357685185103</v>
      </c>
    </row>
    <row r="307" spans="1:35" ht="13" x14ac:dyDescent="0.15">
      <c r="A307">
        <f ca="1">IFERROR(__xludf.DUMMYFUNCTION("""COMPUTED_VALUE"""),1642)</f>
        <v>1642</v>
      </c>
      <c r="B307" t="str">
        <f ca="1">IFERROR(__xludf.DUMMYFUNCTION("""COMPUTED_VALUE"""),"ВИК")</f>
        <v>ВИК</v>
      </c>
      <c r="C307" t="str">
        <f ca="1">IFERROR(__xludf.DUMMYFUNCTION("""COMPUTED_VALUE"""),"ВИК")</f>
        <v>ВИК</v>
      </c>
      <c r="D307">
        <f ca="1">IFERROR(__xludf.DUMMYFUNCTION("""COMPUTED_VALUE"""),24066045)</f>
        <v>24066045</v>
      </c>
      <c r="E307" t="str">
        <f ca="1">IFERROR(__xludf.DUMMYFUNCTION("""COMPUTED_VALUE"""),"20 КРЫТЫЕ")</f>
        <v>20 КРЫТЫЕ</v>
      </c>
      <c r="F307">
        <f ca="1">IFERROR(__xludf.DUMMYFUNCTION("""COMPUTED_VALUE"""),42103)</f>
        <v>42103</v>
      </c>
      <c r="G307" t="str">
        <f ca="1">IFERROR(__xludf.DUMMYFUNCTION("""COMPUTED_VALUE"""),"ВАГОНЫ ЖД СВ")</f>
        <v>ВАГОНЫ ЖД СВ</v>
      </c>
      <c r="H307">
        <f ca="1">IFERROR(__xludf.DUMMYFUNCTION("""COMPUTED_VALUE"""),0)</f>
        <v>0</v>
      </c>
      <c r="I307">
        <f ca="1">IFERROR(__xludf.DUMMYFUNCTION("""COMPUTED_VALUE"""),4149)</f>
        <v>4149</v>
      </c>
      <c r="J307" t="str">
        <f ca="1">IFERROR(__xludf.DUMMYFUNCTION("""COMPUTED_VALUE"""),"3801 (38470-070-38250) КОРОЛЕВО - БАТЕВО")</f>
        <v>3801 (38470-070-38250) КОРОЛЕВО - БАТЕВО</v>
      </c>
      <c r="K307">
        <f ca="1">IFERROR(__xludf.DUMMYFUNCTION("""COMPUTED_VALUE"""),38250)</f>
        <v>38250</v>
      </c>
      <c r="L307" t="str">
        <f ca="1">IFERROR(__xludf.DUMMYFUNCTION("""COMPUTED_VALUE"""),"БАТЕВО")</f>
        <v>БАТЕВО</v>
      </c>
      <c r="M307" t="str">
        <f ca="1">IFERROR(__xludf.DUMMYFUNCTION("""COMPUTED_VALUE"""),"12.08.21 05-38")</f>
        <v>12.08.21 05-38</v>
      </c>
      <c r="N307" t="str">
        <f ca="1">IFERROR(__xludf.DUMMYFUNCTION("""COMPUTED_VALUE"""),"04 РАСФ")</f>
        <v>04 РАСФ</v>
      </c>
      <c r="O307">
        <f ca="1">IFERROR(__xludf.DUMMYFUNCTION("""COMPUTED_VALUE"""),49620)</f>
        <v>49620</v>
      </c>
      <c r="P307" t="str">
        <f ca="1">IFERROR(__xludf.DUMMYFUNCTION("""COMPUTED_VALUE"""),"ДЕКОНСКАЯ")</f>
        <v>ДЕКОНСКАЯ</v>
      </c>
      <c r="Q307">
        <f ca="1">IFERROR(__xludf.DUMMYFUNCTION("""COMPUTED_VALUE"""),38440)</f>
        <v>38440</v>
      </c>
      <c r="R307" t="str">
        <f ca="1">IFERROR(__xludf.DUMMYFUNCTION("""COMPUTED_VALUE"""),"ВИНОГР-ЗАКАР")</f>
        <v>ВИНОГР-ЗАКАР</v>
      </c>
      <c r="S307" t="str">
        <f ca="1">IFERROR(__xludf.DUMMYFUNCTION("""COMPUTED_VALUE"""),"09.08.21 18-00")</f>
        <v>09.08.21 18-00</v>
      </c>
      <c r="T307">
        <f ca="1">IFERROR(__xludf.DUMMYFUNCTION("""COMPUTED_VALUE"""),4456)</f>
        <v>4456</v>
      </c>
      <c r="U307" t="str">
        <f ca="1">IFERROR(__xludf.DUMMYFUNCTION("""COMPUTED_VALUE"""),"28.07.2022 КР")</f>
        <v>28.07.2022 КР</v>
      </c>
      <c r="AA307" t="str">
        <f ca="1">IFERROR(__xludf.DUMMYFUNCTION("""COMPUTED_VALUE"""),"11-217")</f>
        <v>11-217</v>
      </c>
      <c r="AB307" t="str">
        <f ca="1">IFERROR(__xludf.DUMMYFUNCTION("""COMPUTED_VALUE"""),"40 ОД")</f>
        <v>40 ОД</v>
      </c>
      <c r="AC307" t="str">
        <f ca="1">IFERROR(__xludf.DUMMYFUNCTION("""COMPUTED_VALUE"""),"41190 ПОМОШНАЯ")</f>
        <v>41190 ПОМОШНАЯ</v>
      </c>
      <c r="AD307" t="str">
        <f ca="1">IFERROR(__xludf.DUMMYFUNCTION("""COMPUTED_VALUE"""),"18.07.21 10-00")</f>
        <v>18.07.21 10-00</v>
      </c>
      <c r="AE307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307" t="str">
        <f ca="1">IFERROR(__xludf.DUMMYFUNCTION("""COMPUTED_VALUE"""),"40 ОД")</f>
        <v>40 ОД</v>
      </c>
      <c r="AG307" t="str">
        <f ca="1">IFERROR(__xludf.DUMMYFUNCTION("""COMPUTED_VALUE"""),"41190 ПОМОШНАЯ")</f>
        <v>41190 ПОМОШНАЯ</v>
      </c>
      <c r="AH307" t="str">
        <f ca="1">IFERROR(__xludf.DUMMYFUNCTION("""COMPUTED_VALUE"""),"28.07.21 15-45")</f>
        <v>28.07.21 15-45</v>
      </c>
      <c r="AI307" s="21">
        <f ca="1">IFERROR(__xludf.DUMMYFUNCTION("""COMPUTED_VALUE"""),44420.3576851851)</f>
        <v>44420.357685185103</v>
      </c>
    </row>
    <row r="308" spans="1:35" ht="13" x14ac:dyDescent="0.15">
      <c r="A308">
        <f ca="1">IFERROR(__xludf.DUMMYFUNCTION("""COMPUTED_VALUE"""),1643)</f>
        <v>1643</v>
      </c>
      <c r="B308" t="str">
        <f ca="1">IFERROR(__xludf.DUMMYFUNCTION("""COMPUTED_VALUE"""),"ВИК")</f>
        <v>ВИК</v>
      </c>
      <c r="C308" t="str">
        <f ca="1">IFERROR(__xludf.DUMMYFUNCTION("""COMPUTED_VALUE"""),"ВИК")</f>
        <v>ВИК</v>
      </c>
      <c r="D308">
        <f ca="1">IFERROR(__xludf.DUMMYFUNCTION("""COMPUTED_VALUE"""),24096554)</f>
        <v>24096554</v>
      </c>
      <c r="E308" t="str">
        <f ca="1">IFERROR(__xludf.DUMMYFUNCTION("""COMPUTED_VALUE"""),"20 КРЫТЫЕ")</f>
        <v>20 КРЫТЫЕ</v>
      </c>
      <c r="F308">
        <f ca="1">IFERROR(__xludf.DUMMYFUNCTION("""COMPUTED_VALUE"""),42103)</f>
        <v>42103</v>
      </c>
      <c r="G308" t="str">
        <f ca="1">IFERROR(__xludf.DUMMYFUNCTION("""COMPUTED_VALUE"""),"ВАГОНЫ ЖД СВ")</f>
        <v>ВАГОНЫ ЖД СВ</v>
      </c>
      <c r="H308">
        <f ca="1">IFERROR(__xludf.DUMMYFUNCTION("""COMPUTED_VALUE"""),0)</f>
        <v>0</v>
      </c>
      <c r="I308">
        <f ca="1">IFERROR(__xludf.DUMMYFUNCTION("""COMPUTED_VALUE"""),4149)</f>
        <v>4149</v>
      </c>
      <c r="J308" t="str">
        <f ca="1">IFERROR(__xludf.DUMMYFUNCTION("""COMPUTED_VALUE"""),"3802 (49460-047-49640) БАХМУТ -")</f>
        <v>3802 (49460-047-49640) БАХМУТ -</v>
      </c>
      <c r="K308">
        <f ca="1">IFERROR(__xludf.DUMMYFUNCTION("""COMPUTED_VALUE"""),49620)</f>
        <v>49620</v>
      </c>
      <c r="L308" t="str">
        <f ca="1">IFERROR(__xludf.DUMMYFUNCTION("""COMPUTED_VALUE"""),"ДЕКОНСКАЯ")</f>
        <v>ДЕКОНСКАЯ</v>
      </c>
      <c r="M308" t="str">
        <f ca="1">IFERROR(__xludf.DUMMYFUNCTION("""COMPUTED_VALUE"""),"12.08.21 04-36")</f>
        <v>12.08.21 04-36</v>
      </c>
      <c r="N308" t="str">
        <f ca="1">IFERROR(__xludf.DUMMYFUNCTION("""COMPUTED_VALUE"""),"04 РАСФ")</f>
        <v>04 РАСФ</v>
      </c>
      <c r="O308">
        <f ca="1">IFERROR(__xludf.DUMMYFUNCTION("""COMPUTED_VALUE"""),49620)</f>
        <v>49620</v>
      </c>
      <c r="P308" t="str">
        <f ca="1">IFERROR(__xludf.DUMMYFUNCTION("""COMPUTED_VALUE"""),"ДЕКОНСКАЯ")</f>
        <v>ДЕКОНСКАЯ</v>
      </c>
      <c r="Q308">
        <f ca="1">IFERROR(__xludf.DUMMYFUNCTION("""COMPUTED_VALUE"""),32060)</f>
        <v>32060</v>
      </c>
      <c r="R308" t="str">
        <f ca="1">IFERROR(__xludf.DUMMYFUNCTION("""COMPUTED_VALUE"""),"ПОЧАЙНА")</f>
        <v>ПОЧАЙНА</v>
      </c>
      <c r="S308" t="str">
        <f ca="1">IFERROR(__xludf.DUMMYFUNCTION("""COMPUTED_VALUE"""),"05.08.21 16-20")</f>
        <v>05.08.21 16-20</v>
      </c>
      <c r="T308">
        <f ca="1">IFERROR(__xludf.DUMMYFUNCTION("""COMPUTED_VALUE"""),4456)</f>
        <v>4456</v>
      </c>
      <c r="U308" t="str">
        <f ca="1">IFERROR(__xludf.DUMMYFUNCTION("""COMPUTED_VALUE"""),"23.04.2022 ДР")</f>
        <v>23.04.2022 ДР</v>
      </c>
      <c r="AA308" t="str">
        <f ca="1">IFERROR(__xludf.DUMMYFUNCTION("""COMPUTED_VALUE"""),"11-217")</f>
        <v>11-217</v>
      </c>
      <c r="AB308" t="str">
        <f ca="1">IFERROR(__xludf.DUMMYFUNCTION("""COMPUTED_VALUE"""),"40 ОД")</f>
        <v>40 ОД</v>
      </c>
      <c r="AC308" t="str">
        <f ca="1">IFERROR(__xludf.DUMMYFUNCTION("""COMPUTED_VALUE"""),"41190 ПОМОШНАЯ")</f>
        <v>41190 ПОМОШНАЯ</v>
      </c>
      <c r="AD308" t="str">
        <f ca="1">IFERROR(__xludf.DUMMYFUNCTION("""COMPUTED_VALUE"""),"03.04.19 08-30")</f>
        <v>03.04.19 08-30</v>
      </c>
      <c r="AE308" t="str">
        <f ca="1">IFERROR(__xludf.DUMMYFUNCTION("""COMPUTED_VALUE"""),"571 ИCТEК КAЛЕНДАРНЫЙ CPOК КAПИТAЛЬНОГО PEМOНТA")</f>
        <v>571 ИCТEК КAЛЕНДАРНЫЙ CPOК КAПИТAЛЬНОГО PEМOНТA</v>
      </c>
      <c r="AF308" t="str">
        <f ca="1">IFERROR(__xludf.DUMMYFUNCTION("""COMPUTED_VALUE"""),"40 ОД")</f>
        <v>40 ОД</v>
      </c>
      <c r="AG308" t="str">
        <f ca="1">IFERROR(__xludf.DUMMYFUNCTION("""COMPUTED_VALUE"""),"41190 ПОМОШНАЯ")</f>
        <v>41190 ПОМОШНАЯ</v>
      </c>
      <c r="AH308" t="str">
        <f ca="1">IFERROR(__xludf.DUMMYFUNCTION("""COMPUTED_VALUE"""),"23.04.19 15-00")</f>
        <v>23.04.19 15-00</v>
      </c>
      <c r="AI308" s="21">
        <f ca="1">IFERROR(__xludf.DUMMYFUNCTION("""COMPUTED_VALUE"""),44420.3576851851)</f>
        <v>44420.357685185103</v>
      </c>
    </row>
    <row r="309" spans="1:35" ht="13" x14ac:dyDescent="0.15">
      <c r="A309">
        <f ca="1">IFERROR(__xludf.DUMMYFUNCTION("""COMPUTED_VALUE"""),1644)</f>
        <v>1644</v>
      </c>
      <c r="B309" t="str">
        <f ca="1">IFERROR(__xludf.DUMMYFUNCTION("""COMPUTED_VALUE"""),"ВИК")</f>
        <v>ВИК</v>
      </c>
      <c r="C309" t="str">
        <f ca="1">IFERROR(__xludf.DUMMYFUNCTION("""COMPUTED_VALUE"""),"ВИК")</f>
        <v>ВИК</v>
      </c>
      <c r="D309">
        <f ca="1">IFERROR(__xludf.DUMMYFUNCTION("""COMPUTED_VALUE"""),24096620)</f>
        <v>24096620</v>
      </c>
      <c r="E309" t="str">
        <f ca="1">IFERROR(__xludf.DUMMYFUNCTION("""COMPUTED_VALUE"""),"20 КРЫТЫЕ")</f>
        <v>20 КРЫТЫЕ</v>
      </c>
      <c r="F309">
        <f ca="1">IFERROR(__xludf.DUMMYFUNCTION("""COMPUTED_VALUE"""),42103)</f>
        <v>42103</v>
      </c>
      <c r="G309" t="str">
        <f ca="1">IFERROR(__xludf.DUMMYFUNCTION("""COMPUTED_VALUE"""),"ВАГОНЫ ЖД СВ")</f>
        <v>ВАГОНЫ ЖД СВ</v>
      </c>
      <c r="H309">
        <f ca="1">IFERROR(__xludf.DUMMYFUNCTION("""COMPUTED_VALUE"""),68)</f>
        <v>68</v>
      </c>
      <c r="I309">
        <f ca="1">IFERROR(__xludf.DUMMYFUNCTION("""COMPUTED_VALUE"""),4714)</f>
        <v>4714</v>
      </c>
      <c r="J309" t="str">
        <f ca="1">IFERROR(__xludf.DUMMYFUNCTION("""COMPUTED_VALUE"""),"3505 (49000-069-49460) ЛИМАН - БАХМУТ")</f>
        <v>3505 (49000-069-49460) ЛИМАН - БАХМУТ</v>
      </c>
      <c r="K309">
        <f ca="1">IFERROR(__xludf.DUMMYFUNCTION("""COMPUTED_VALUE"""),49480)</f>
        <v>49480</v>
      </c>
      <c r="L309" t="str">
        <f ca="1">IFERROR(__xludf.DUMMYFUNCTION("""COMPUTED_VALUE"""),"СОЛЬ")</f>
        <v>СОЛЬ</v>
      </c>
      <c r="M309" t="str">
        <f ca="1">IFERROR(__xludf.DUMMYFUNCTION("""COMPUTED_VALUE"""),"28.07.21 08-55")</f>
        <v>28.07.21 08-55</v>
      </c>
      <c r="N309" t="str">
        <f ca="1">IFERROR(__xludf.DUMMYFUNCTION("""COMPUTED_VALUE"""),"98 ОТОТ")</f>
        <v>98 ОТОТ</v>
      </c>
      <c r="O309">
        <f ca="1">IFERROR(__xludf.DUMMYFUNCTION("""COMPUTED_VALUE"""),49480)</f>
        <v>49480</v>
      </c>
      <c r="P309" t="str">
        <f ca="1">IFERROR(__xludf.DUMMYFUNCTION("""COMPUTED_VALUE"""),"СОЛЬ")</f>
        <v>СОЛЬ</v>
      </c>
      <c r="Q309">
        <f ca="1">IFERROR(__xludf.DUMMYFUNCTION("""COMPUTED_VALUE"""),40200)</f>
        <v>40200</v>
      </c>
      <c r="R309" t="str">
        <f ca="1">IFERROR(__xludf.DUMMYFUNCTION("""COMPUTED_VALUE"""),"ЧЕРНОМОРСК-П")</f>
        <v>ЧЕРНОМОРСК-П</v>
      </c>
      <c r="S309" t="str">
        <f ca="1">IFERROR(__xludf.DUMMYFUNCTION("""COMPUTED_VALUE"""),"09.07.21 00-23")</f>
        <v>09.07.21 00-23</v>
      </c>
      <c r="T309">
        <f ca="1">IFERROR(__xludf.DUMMYFUNCTION("""COMPUTED_VALUE"""),0)</f>
        <v>0</v>
      </c>
      <c r="U309" t="str">
        <f ca="1">IFERROR(__xludf.DUMMYFUNCTION("""COMPUTED_VALUE"""),"08.10.2021 ДР")</f>
        <v>08.10.2021 ДР</v>
      </c>
      <c r="AA309" t="str">
        <f ca="1">IFERROR(__xludf.DUMMYFUNCTION("""COMPUTED_VALUE"""),"11-217")</f>
        <v>11-217</v>
      </c>
      <c r="AB309" t="str">
        <f ca="1">IFERROR(__xludf.DUMMYFUNCTION("""COMPUTED_VALUE"""),"40 ОД")</f>
        <v>40 ОД</v>
      </c>
      <c r="AC309" t="str">
        <f ca="1">IFERROR(__xludf.DUMMYFUNCTION("""COMPUTED_VALUE"""),"41190 ПОМОШНАЯ")</f>
        <v>41190 ПОМОШНАЯ</v>
      </c>
      <c r="AD309" t="str">
        <f ca="1">IFERROR(__xludf.DUMMYFUNCTION("""COMPUTED_VALUE"""),"10.04.21 07-30")</f>
        <v>10.04.21 07-30</v>
      </c>
      <c r="AE309" t="str">
        <f ca="1">IFERROR(__xludf.DUMMYFUNCTION("""COMPUTED_VALUE"""),"102 ТOНКИЙ ГPEБEНЬ")</f>
        <v>102 ТOНКИЙ ГPEБEНЬ</v>
      </c>
      <c r="AF309" t="str">
        <f ca="1">IFERROR(__xludf.DUMMYFUNCTION("""COMPUTED_VALUE"""),"40 ОД")</f>
        <v>40 ОД</v>
      </c>
      <c r="AG309" t="str">
        <f ca="1">IFERROR(__xludf.DUMMYFUNCTION("""COMPUTED_VALUE"""),"41190 ПОМОШНАЯ")</f>
        <v>41190 ПОМОШНАЯ</v>
      </c>
      <c r="AH309" t="str">
        <f ca="1">IFERROR(__xludf.DUMMYFUNCTION("""COMPUTED_VALUE"""),"11.04.21 16-45")</f>
        <v>11.04.21 16-45</v>
      </c>
      <c r="AI309" s="21">
        <f ca="1">IFERROR(__xludf.DUMMYFUNCTION("""COMPUTED_VALUE"""),44420.3576851851)</f>
        <v>44420.357685185103</v>
      </c>
    </row>
    <row r="310" spans="1:35" ht="13" x14ac:dyDescent="0.15">
      <c r="A310">
        <f ca="1">IFERROR(__xludf.DUMMYFUNCTION("""COMPUTED_VALUE"""),1645)</f>
        <v>1645</v>
      </c>
      <c r="B310" t="str">
        <f ca="1">IFERROR(__xludf.DUMMYFUNCTION("""COMPUTED_VALUE"""),"ВИК")</f>
        <v>ВИК</v>
      </c>
      <c r="C310" t="str">
        <f ca="1">IFERROR(__xludf.DUMMYFUNCTION("""COMPUTED_VALUE"""),"ВИК")</f>
        <v>ВИК</v>
      </c>
      <c r="D310">
        <f ca="1">IFERROR(__xludf.DUMMYFUNCTION("""COMPUTED_VALUE"""),24096638)</f>
        <v>24096638</v>
      </c>
      <c r="E310" t="str">
        <f ca="1">IFERROR(__xludf.DUMMYFUNCTION("""COMPUTED_VALUE"""),"20 КРЫТЫЕ")</f>
        <v>20 КРЫТЫЕ</v>
      </c>
      <c r="F310">
        <f ca="1">IFERROR(__xludf.DUMMYFUNCTION("""COMPUTED_VALUE"""),42103)</f>
        <v>42103</v>
      </c>
      <c r="G310" t="str">
        <f ca="1">IFERROR(__xludf.DUMMYFUNCTION("""COMPUTED_VALUE"""),"ВАГОНЫ ЖД СВ")</f>
        <v>ВАГОНЫ ЖД СВ</v>
      </c>
      <c r="H310">
        <f ca="1">IFERROR(__xludf.DUMMYFUNCTION("""COMPUTED_VALUE"""),0)</f>
        <v>0</v>
      </c>
      <c r="I310">
        <f ca="1">IFERROR(__xludf.DUMMYFUNCTION("""COMPUTED_VALUE"""),4149)</f>
        <v>4149</v>
      </c>
      <c r="J310" t="str">
        <f ca="1">IFERROR(__xludf.DUMMYFUNCTION("""COMPUTED_VALUE"""),"4833 (49640-038-49460)  - БАХМУТ")</f>
        <v>4833 (49640-038-49460)  - БАХМУТ</v>
      </c>
      <c r="K310">
        <f ca="1">IFERROR(__xludf.DUMMYFUNCTION("""COMPUTED_VALUE"""),49620)</f>
        <v>49620</v>
      </c>
      <c r="L310" t="str">
        <f ca="1">IFERROR(__xludf.DUMMYFUNCTION("""COMPUTED_VALUE"""),"ДЕКОНСКАЯ")</f>
        <v>ДЕКОНСКАЯ</v>
      </c>
      <c r="M310" t="str">
        <f ca="1">IFERROR(__xludf.DUMMYFUNCTION("""COMPUTED_VALUE"""),"09.08.21 12-10")</f>
        <v>09.08.21 12-10</v>
      </c>
      <c r="N310" t="str">
        <f ca="1">IFERROR(__xludf.DUMMYFUNCTION("""COMPUTED_VALUE"""),"98 ОТОТ")</f>
        <v>98 ОТОТ</v>
      </c>
      <c r="O310">
        <f ca="1">IFERROR(__xludf.DUMMYFUNCTION("""COMPUTED_VALUE"""),49620)</f>
        <v>49620</v>
      </c>
      <c r="P310" t="str">
        <f ca="1">IFERROR(__xludf.DUMMYFUNCTION("""COMPUTED_VALUE"""),"ДЕКОНСКАЯ")</f>
        <v>ДЕКОНСКАЯ</v>
      </c>
      <c r="Q310">
        <f ca="1">IFERROR(__xludf.DUMMYFUNCTION("""COMPUTED_VALUE"""),32040)</f>
        <v>32040</v>
      </c>
      <c r="R310" t="str">
        <f ca="1">IFERROR(__xludf.DUMMYFUNCTION("""COMPUTED_VALUE"""),"ГРУШКИ")</f>
        <v>ГРУШКИ</v>
      </c>
      <c r="S310" t="str">
        <f ca="1">IFERROR(__xludf.DUMMYFUNCTION("""COMPUTED_VALUE"""),"31.07.21 14-30")</f>
        <v>31.07.21 14-30</v>
      </c>
      <c r="T310">
        <f ca="1">IFERROR(__xludf.DUMMYFUNCTION("""COMPUTED_VALUE"""),4456)</f>
        <v>4456</v>
      </c>
      <c r="U310" t="str">
        <f ca="1">IFERROR(__xludf.DUMMYFUNCTION("""COMPUTED_VALUE"""),"25.04.2022 ДР")</f>
        <v>25.04.2022 ДР</v>
      </c>
      <c r="AA310" t="str">
        <f ca="1">IFERROR(__xludf.DUMMYFUNCTION("""COMPUTED_VALUE"""),"11-217")</f>
        <v>11-217</v>
      </c>
      <c r="AB310" t="str">
        <f ca="1">IFERROR(__xludf.DUMMYFUNCTION("""COMPUTED_VALUE"""),"40 ОД")</f>
        <v>40 ОД</v>
      </c>
      <c r="AC310" t="str">
        <f ca="1">IFERROR(__xludf.DUMMYFUNCTION("""COMPUTED_VALUE"""),"42000 ИМ.Т.ШЕВЧЕНК")</f>
        <v>42000 ИМ.Т.ШЕВЧЕНК</v>
      </c>
      <c r="AD310" t="str">
        <f ca="1">IFERROR(__xludf.DUMMYFUNCTION("""COMPUTED_VALUE"""),"24.04.19 08-00")</f>
        <v>24.04.19 08-00</v>
      </c>
      <c r="AE310" t="str">
        <f ca="1">IFERROR(__xludf.DUMMYFUNCTION("""COMPUTED_VALUE"""),"571 ИCТEК КAЛЕНДАРНЫЙ CPOК КAПИТAЛЬНОГО PEМOНТA")</f>
        <v>571 ИCТEК КAЛЕНДАРНЫЙ CPOК КAПИТAЛЬНОГО PEМOНТA</v>
      </c>
      <c r="AF310" t="str">
        <f ca="1">IFERROR(__xludf.DUMMYFUNCTION("""COMPUTED_VALUE"""),"40 ОД")</f>
        <v>40 ОД</v>
      </c>
      <c r="AG310" t="str">
        <f ca="1">IFERROR(__xludf.DUMMYFUNCTION("""COMPUTED_VALUE"""),"42000 ИМ.Т.ШЕВЧЕНК")</f>
        <v>42000 ИМ.Т.ШЕВЧЕНК</v>
      </c>
      <c r="AH310" t="str">
        <f ca="1">IFERROR(__xludf.DUMMYFUNCTION("""COMPUTED_VALUE"""),"25.04.19 14-00")</f>
        <v>25.04.19 14-00</v>
      </c>
      <c r="AI310" s="21">
        <f ca="1">IFERROR(__xludf.DUMMYFUNCTION("""COMPUTED_VALUE"""),44420.3576851851)</f>
        <v>44420.357685185103</v>
      </c>
    </row>
    <row r="311" spans="1:35" ht="13" x14ac:dyDescent="0.15">
      <c r="A311">
        <f ca="1">IFERROR(__xludf.DUMMYFUNCTION("""COMPUTED_VALUE"""),1646)</f>
        <v>1646</v>
      </c>
      <c r="B311" t="str">
        <f ca="1">IFERROR(__xludf.DUMMYFUNCTION("""COMPUTED_VALUE"""),"ВИК")</f>
        <v>ВИК</v>
      </c>
      <c r="C311" t="str">
        <f ca="1">IFERROR(__xludf.DUMMYFUNCTION("""COMPUTED_VALUE"""),"ВИК")</f>
        <v>ВИК</v>
      </c>
      <c r="D311">
        <f ca="1">IFERROR(__xludf.DUMMYFUNCTION("""COMPUTED_VALUE"""),24096653)</f>
        <v>24096653</v>
      </c>
      <c r="E311" t="str">
        <f ca="1">IFERROR(__xludf.DUMMYFUNCTION("""COMPUTED_VALUE"""),"20 КРЫТЫЕ")</f>
        <v>20 КРЫТЫЕ</v>
      </c>
      <c r="F311">
        <f ca="1">IFERROR(__xludf.DUMMYFUNCTION("""COMPUTED_VALUE"""),23304)</f>
        <v>23304</v>
      </c>
      <c r="G311" t="str">
        <f ca="1">IFERROR(__xludf.DUMMYFUNCTION("""COMPUTED_VALUE"""),"ГИПС ПР")</f>
        <v>ГИПС ПР</v>
      </c>
      <c r="H311">
        <f ca="1">IFERROR(__xludf.DUMMYFUNCTION("""COMPUTED_VALUE"""),68)</f>
        <v>68</v>
      </c>
      <c r="I311">
        <f ca="1">IFERROR(__xludf.DUMMYFUNCTION("""COMPUTED_VALUE"""),3314)</f>
        <v>3314</v>
      </c>
      <c r="J311" t="str">
        <f ca="1">IFERROR(__xludf.DUMMYFUNCTION("""COMPUTED_VALUE"""),"2723 (44020-120-32000) ОСНОВА - ДАРНИЦА")</f>
        <v>2723 (44020-120-32000) ОСНОВА - ДАРНИЦА</v>
      </c>
      <c r="K311">
        <f ca="1">IFERROR(__xludf.DUMMYFUNCTION("""COMPUTED_VALUE"""),32000)</f>
        <v>32000</v>
      </c>
      <c r="L311" t="str">
        <f ca="1">IFERROR(__xludf.DUMMYFUNCTION("""COMPUTED_VALUE"""),"ДАРНИЦА")</f>
        <v>ДАРНИЦА</v>
      </c>
      <c r="M311" t="str">
        <f ca="1">IFERROR(__xludf.DUMMYFUNCTION("""COMPUTED_VALUE"""),"12.08.21 05-01")</f>
        <v>12.08.21 05-01</v>
      </c>
      <c r="N311" t="str">
        <f ca="1">IFERROR(__xludf.DUMMYFUNCTION("""COMPUTED_VALUE"""),"04 РАСФ")</f>
        <v>04 РАСФ</v>
      </c>
      <c r="O311">
        <f ca="1">IFERROR(__xludf.DUMMYFUNCTION("""COMPUTED_VALUE"""),32040)</f>
        <v>32040</v>
      </c>
      <c r="P311" t="str">
        <f ca="1">IFERROR(__xludf.DUMMYFUNCTION("""COMPUTED_VALUE"""),"ГРУШКИ")</f>
        <v>ГРУШКИ</v>
      </c>
      <c r="Q311">
        <f ca="1">IFERROR(__xludf.DUMMYFUNCTION("""COMPUTED_VALUE"""),49620)</f>
        <v>49620</v>
      </c>
      <c r="R311" t="str">
        <f ca="1">IFERROR(__xludf.DUMMYFUNCTION("""COMPUTED_VALUE"""),"ДЕКОНСКАЯ")</f>
        <v>ДЕКОНСКАЯ</v>
      </c>
      <c r="S311" t="str">
        <f ca="1">IFERROR(__xludf.DUMMYFUNCTION("""COMPUTED_VALUE"""),"08.08.21 00-05")</f>
        <v>08.08.21 00-05</v>
      </c>
      <c r="T311">
        <f ca="1">IFERROR(__xludf.DUMMYFUNCTION("""COMPUTED_VALUE"""),4149)</f>
        <v>4149</v>
      </c>
      <c r="U311" t="str">
        <f ca="1">IFERROR(__xludf.DUMMYFUNCTION("""COMPUTED_VALUE"""),"18.09.2022 ДР")</f>
        <v>18.09.2022 ДР</v>
      </c>
      <c r="AA311" t="str">
        <f ca="1">IFERROR(__xludf.DUMMYFUNCTION("""COMPUTED_VALUE"""),"11-217")</f>
        <v>11-217</v>
      </c>
      <c r="AB311" t="str">
        <f ca="1">IFERROR(__xludf.DUMMYFUNCTION("""COMPUTED_VALUE"""),"40 ОД")</f>
        <v>40 ОД</v>
      </c>
      <c r="AC311" t="str">
        <f ca="1">IFERROR(__xludf.DUMMYFUNCTION("""COMPUTED_VALUE"""),"41190 ПОМОШНАЯ")</f>
        <v>41190 ПОМОШНАЯ</v>
      </c>
      <c r="AD311" t="str">
        <f ca="1">IFERROR(__xludf.DUMMYFUNCTION("""COMPUTED_VALUE"""),"13.09.20 08-00")</f>
        <v>13.09.20 08-00</v>
      </c>
      <c r="AE311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11" t="str">
        <f ca="1">IFERROR(__xludf.DUMMYFUNCTION("""COMPUTED_VALUE"""),"40 ОД")</f>
        <v>40 ОД</v>
      </c>
      <c r="AG311" t="str">
        <f ca="1">IFERROR(__xludf.DUMMYFUNCTION("""COMPUTED_VALUE"""),"41190 ПОМОШНАЯ")</f>
        <v>41190 ПОМОШНАЯ</v>
      </c>
      <c r="AH311" t="str">
        <f ca="1">IFERROR(__xludf.DUMMYFUNCTION("""COMPUTED_VALUE"""),"18.09.20 17-30")</f>
        <v>18.09.20 17-30</v>
      </c>
      <c r="AI311" s="21">
        <f ca="1">IFERROR(__xludf.DUMMYFUNCTION("""COMPUTED_VALUE"""),44420.3576851851)</f>
        <v>44420.357685185103</v>
      </c>
    </row>
    <row r="312" spans="1:35" ht="13" x14ac:dyDescent="0.15">
      <c r="A312">
        <f ca="1">IFERROR(__xludf.DUMMYFUNCTION("""COMPUTED_VALUE"""),1647)</f>
        <v>1647</v>
      </c>
      <c r="B312" t="str">
        <f ca="1">IFERROR(__xludf.DUMMYFUNCTION("""COMPUTED_VALUE"""),"ВИК")</f>
        <v>ВИК</v>
      </c>
      <c r="C312" t="str">
        <f ca="1">IFERROR(__xludf.DUMMYFUNCTION("""COMPUTED_VALUE"""),"ВИК")</f>
        <v>ВИК</v>
      </c>
      <c r="D312">
        <f ca="1">IFERROR(__xludf.DUMMYFUNCTION("""COMPUTED_VALUE"""),24096661)</f>
        <v>24096661</v>
      </c>
      <c r="E312" t="str">
        <f ca="1">IFERROR(__xludf.DUMMYFUNCTION("""COMPUTED_VALUE"""),"20 КРЫТЫЕ")</f>
        <v>20 КРЫТЫЕ</v>
      </c>
      <c r="F312">
        <f ca="1">IFERROR(__xludf.DUMMYFUNCTION("""COMPUTED_VALUE"""),42103)</f>
        <v>42103</v>
      </c>
      <c r="G312" t="str">
        <f ca="1">IFERROR(__xludf.DUMMYFUNCTION("""COMPUTED_VALUE"""),"ВАГОНЫ ЖД СВ")</f>
        <v>ВАГОНЫ ЖД СВ</v>
      </c>
      <c r="H312">
        <f ca="1">IFERROR(__xludf.DUMMYFUNCTION("""COMPUTED_VALUE"""),0)</f>
        <v>0</v>
      </c>
      <c r="I312">
        <f ca="1">IFERROR(__xludf.DUMMYFUNCTION("""COMPUTED_VALUE"""),4149)</f>
        <v>4149</v>
      </c>
      <c r="J312" t="str">
        <f ca="1">IFERROR(__xludf.DUMMYFUNCTION("""COMPUTED_VALUE"""),"3802 (49640-069-49620)  - ДЕКОНСКАЯ")</f>
        <v>3802 (49640-069-49620)  - ДЕКОНСКАЯ</v>
      </c>
      <c r="K312">
        <f ca="1">IFERROR(__xludf.DUMMYFUNCTION("""COMPUTED_VALUE"""),49620)</f>
        <v>49620</v>
      </c>
      <c r="L312" t="str">
        <f ca="1">IFERROR(__xludf.DUMMYFUNCTION("""COMPUTED_VALUE"""),"ДЕКОНСКАЯ")</f>
        <v>ДЕКОНСКАЯ</v>
      </c>
      <c r="M312" t="str">
        <f ca="1">IFERROR(__xludf.DUMMYFUNCTION("""COMPUTED_VALUE"""),"11.08.21 04-43")</f>
        <v>11.08.21 04-43</v>
      </c>
      <c r="N312" t="str">
        <f ca="1">IFERROR(__xludf.DUMMYFUNCTION("""COMPUTED_VALUE"""),"98 ОТОТ")</f>
        <v>98 ОТОТ</v>
      </c>
      <c r="O312">
        <f ca="1">IFERROR(__xludf.DUMMYFUNCTION("""COMPUTED_VALUE"""),49620)</f>
        <v>49620</v>
      </c>
      <c r="P312" t="str">
        <f ca="1">IFERROR(__xludf.DUMMYFUNCTION("""COMPUTED_VALUE"""),"ДЕКОНСКАЯ")</f>
        <v>ДЕКОНСКАЯ</v>
      </c>
      <c r="Q312">
        <f ca="1">IFERROR(__xludf.DUMMYFUNCTION("""COMPUTED_VALUE"""),35400)</f>
        <v>35400</v>
      </c>
      <c r="R312" t="str">
        <f ca="1">IFERROR(__xludf.DUMMYFUNCTION("""COMPUTED_VALUE"""),"КОВЕЛЬ")</f>
        <v>КОВЕЛЬ</v>
      </c>
      <c r="S312" t="str">
        <f ca="1">IFERROR(__xludf.DUMMYFUNCTION("""COMPUTED_VALUE"""),"07.08.21 18-00")</f>
        <v>07.08.21 18-00</v>
      </c>
      <c r="T312">
        <f ca="1">IFERROR(__xludf.DUMMYFUNCTION("""COMPUTED_VALUE"""),4456)</f>
        <v>4456</v>
      </c>
      <c r="U312" t="str">
        <f ca="1">IFERROR(__xludf.DUMMYFUNCTION("""COMPUTED_VALUE"""),"18.07.2023 ДР")</f>
        <v>18.07.2023 ДР</v>
      </c>
      <c r="AA312" t="str">
        <f ca="1">IFERROR(__xludf.DUMMYFUNCTION("""COMPUTED_VALUE"""),"11-217")</f>
        <v>11-217</v>
      </c>
      <c r="AB312" t="str">
        <f ca="1">IFERROR(__xludf.DUMMYFUNCTION("""COMPUTED_VALUE"""),"40 ОД")</f>
        <v>40 ОД</v>
      </c>
      <c r="AC312" t="str">
        <f ca="1">IFERROR(__xludf.DUMMYFUNCTION("""COMPUTED_VALUE"""),"41190 ПОМОШНАЯ")</f>
        <v>41190 ПОМОШНАЯ</v>
      </c>
      <c r="AD312" t="str">
        <f ca="1">IFERROR(__xludf.DUMMYFUNCTION("""COMPUTED_VALUE"""),"14.07.20 17-00")</f>
        <v>14.07.20 17-00</v>
      </c>
      <c r="AE312" t="str">
        <f ca="1">IFERROR(__xludf.DUMMYFUNCTION("""COMPUTED_VALUE"""),"570 ИCТEК КAЛЕНДАРНЫЙ CPOК ДEПOВCКОГО PEМOНТA")</f>
        <v>570 ИCТEК КAЛЕНДАРНЫЙ CPOК ДEПOВCКОГО PEМOНТA</v>
      </c>
      <c r="AF312" t="str">
        <f ca="1">IFERROR(__xludf.DUMMYFUNCTION("""COMPUTED_VALUE"""),"40 ОД")</f>
        <v>40 ОД</v>
      </c>
      <c r="AG312" t="str">
        <f ca="1">IFERROR(__xludf.DUMMYFUNCTION("""COMPUTED_VALUE"""),"41190 ПОМОШНАЯ")</f>
        <v>41190 ПОМОШНАЯ</v>
      </c>
      <c r="AH312" t="str">
        <f ca="1">IFERROR(__xludf.DUMMYFUNCTION("""COMPUTED_VALUE"""),"18.07.20 14-30")</f>
        <v>18.07.20 14-30</v>
      </c>
      <c r="AI312" s="21">
        <f ca="1">IFERROR(__xludf.DUMMYFUNCTION("""COMPUTED_VALUE"""),44420.3576851851)</f>
        <v>44420.357685185103</v>
      </c>
    </row>
    <row r="313" spans="1:35" ht="13" x14ac:dyDescent="0.15">
      <c r="A313">
        <f ca="1">IFERROR(__xludf.DUMMYFUNCTION("""COMPUTED_VALUE"""),1648)</f>
        <v>1648</v>
      </c>
      <c r="B313" t="str">
        <f ca="1">IFERROR(__xludf.DUMMYFUNCTION("""COMPUTED_VALUE"""),"ВИК")</f>
        <v>ВИК</v>
      </c>
      <c r="C313" t="str">
        <f ca="1">IFERROR(__xludf.DUMMYFUNCTION("""COMPUTED_VALUE"""),"ВИК")</f>
        <v>ВИК</v>
      </c>
      <c r="D313">
        <f ca="1">IFERROR(__xludf.DUMMYFUNCTION("""COMPUTED_VALUE"""),24096687)</f>
        <v>24096687</v>
      </c>
      <c r="E313" t="str">
        <f ca="1">IFERROR(__xludf.DUMMYFUNCTION("""COMPUTED_VALUE"""),"20 КРЫТЫЕ")</f>
        <v>20 КРЫТЫЕ</v>
      </c>
      <c r="F313">
        <f ca="1">IFERROR(__xludf.DUMMYFUNCTION("""COMPUTED_VALUE"""),42103)</f>
        <v>42103</v>
      </c>
      <c r="G313" t="str">
        <f ca="1">IFERROR(__xludf.DUMMYFUNCTION("""COMPUTED_VALUE"""),"ВАГОНЫ ЖД СВ")</f>
        <v>ВАГОНЫ ЖД СВ</v>
      </c>
      <c r="H313">
        <f ca="1">IFERROR(__xludf.DUMMYFUNCTION("""COMPUTED_VALUE"""),0)</f>
        <v>0</v>
      </c>
      <c r="I313">
        <f ca="1">IFERROR(__xludf.DUMMYFUNCTION("""COMPUTED_VALUE"""),4149)</f>
        <v>4149</v>
      </c>
      <c r="J313" t="str">
        <f ca="1">IFERROR(__xludf.DUMMYFUNCTION("""COMPUTED_VALUE"""),"3802 (49640-066-49620)  - ДЕКОНСКАЯ")</f>
        <v>3802 (49640-066-49620)  - ДЕКОНСКАЯ</v>
      </c>
      <c r="K313">
        <f ca="1">IFERROR(__xludf.DUMMYFUNCTION("""COMPUTED_VALUE"""),49620)</f>
        <v>49620</v>
      </c>
      <c r="L313" t="str">
        <f ca="1">IFERROR(__xludf.DUMMYFUNCTION("""COMPUTED_VALUE"""),"ДЕКОНСКАЯ")</f>
        <v>ДЕКОНСКАЯ</v>
      </c>
      <c r="M313" t="str">
        <f ca="1">IFERROR(__xludf.DUMMYFUNCTION("""COMPUTED_VALUE"""),"09.08.21 12-10")</f>
        <v>09.08.21 12-10</v>
      </c>
      <c r="N313" t="str">
        <f ca="1">IFERROR(__xludf.DUMMYFUNCTION("""COMPUTED_VALUE"""),"98 ОТОТ")</f>
        <v>98 ОТОТ</v>
      </c>
      <c r="O313">
        <f ca="1">IFERROR(__xludf.DUMMYFUNCTION("""COMPUTED_VALUE"""),49620)</f>
        <v>49620</v>
      </c>
      <c r="P313" t="str">
        <f ca="1">IFERROR(__xludf.DUMMYFUNCTION("""COMPUTED_VALUE"""),"ДЕКОНСКАЯ")</f>
        <v>ДЕКОНСКАЯ</v>
      </c>
      <c r="Q313">
        <f ca="1">IFERROR(__xludf.DUMMYFUNCTION("""COMPUTED_VALUE"""),44050)</f>
        <v>44050</v>
      </c>
      <c r="R313" t="str">
        <f ca="1">IFERROR(__xludf.DUMMYFUNCTION("""COMPUTED_VALUE"""),"ХАРЬКОВ-БАЛ")</f>
        <v>ХАРЬКОВ-БАЛ</v>
      </c>
      <c r="S313" t="str">
        <f ca="1">IFERROR(__xludf.DUMMYFUNCTION("""COMPUTED_VALUE"""),"03.08.21 15-30")</f>
        <v>03.08.21 15-30</v>
      </c>
      <c r="T313">
        <f ca="1">IFERROR(__xludf.DUMMYFUNCTION("""COMPUTED_VALUE"""),4456)</f>
        <v>4456</v>
      </c>
      <c r="U313" t="str">
        <f ca="1">IFERROR(__xludf.DUMMYFUNCTION("""COMPUTED_VALUE"""),"25.04.2022 ДР")</f>
        <v>25.04.2022 ДР</v>
      </c>
      <c r="AA313" t="str">
        <f ca="1">IFERROR(__xludf.DUMMYFUNCTION("""COMPUTED_VALUE"""),"11-217")</f>
        <v>11-217</v>
      </c>
      <c r="AB313" t="str">
        <f ca="1">IFERROR(__xludf.DUMMYFUNCTION("""COMPUTED_VALUE"""),"40 ОД")</f>
        <v>40 ОД</v>
      </c>
      <c r="AC313" t="str">
        <f ca="1">IFERROR(__xludf.DUMMYFUNCTION("""COMPUTED_VALUE"""),"42000 ИМ.Т.ШЕВЧЕНК")</f>
        <v>42000 ИМ.Т.ШЕВЧЕНК</v>
      </c>
      <c r="AD313" t="str">
        <f ca="1">IFERROR(__xludf.DUMMYFUNCTION("""COMPUTED_VALUE"""),"24.04.19 08-00")</f>
        <v>24.04.19 08-00</v>
      </c>
      <c r="AE313" t="str">
        <f ca="1">IFERROR(__xludf.DUMMYFUNCTION("""COMPUTED_VALUE"""),"571 ИCТEК КAЛЕНДАРНЫЙ CPOК КAПИТAЛЬНОГО PEМOНТA")</f>
        <v>571 ИCТEК КAЛЕНДАРНЫЙ CPOК КAПИТAЛЬНОГО PEМOНТA</v>
      </c>
      <c r="AF313" t="str">
        <f ca="1">IFERROR(__xludf.DUMMYFUNCTION("""COMPUTED_VALUE"""),"40 ОД")</f>
        <v>40 ОД</v>
      </c>
      <c r="AG313" t="str">
        <f ca="1">IFERROR(__xludf.DUMMYFUNCTION("""COMPUTED_VALUE"""),"42000 ИМ.Т.ШЕВЧЕНК")</f>
        <v>42000 ИМ.Т.ШЕВЧЕНК</v>
      </c>
      <c r="AH313" t="str">
        <f ca="1">IFERROR(__xludf.DUMMYFUNCTION("""COMPUTED_VALUE"""),"25.04.19 14-00")</f>
        <v>25.04.19 14-00</v>
      </c>
      <c r="AI313" s="21">
        <f ca="1">IFERROR(__xludf.DUMMYFUNCTION("""COMPUTED_VALUE"""),44420.3576851851)</f>
        <v>44420.357685185103</v>
      </c>
    </row>
    <row r="314" spans="1:35" ht="13" x14ac:dyDescent="0.15">
      <c r="A314">
        <f ca="1">IFERROR(__xludf.DUMMYFUNCTION("""COMPUTED_VALUE"""),1649)</f>
        <v>1649</v>
      </c>
      <c r="B314" t="str">
        <f ca="1">IFERROR(__xludf.DUMMYFUNCTION("""COMPUTED_VALUE"""),"ВИК")</f>
        <v>ВИК</v>
      </c>
      <c r="C314" t="str">
        <f ca="1">IFERROR(__xludf.DUMMYFUNCTION("""COMPUTED_VALUE"""),"ВИК")</f>
        <v>ВИК</v>
      </c>
      <c r="D314">
        <f ca="1">IFERROR(__xludf.DUMMYFUNCTION("""COMPUTED_VALUE"""),24096729)</f>
        <v>24096729</v>
      </c>
      <c r="E314" t="str">
        <f ca="1">IFERROR(__xludf.DUMMYFUNCTION("""COMPUTED_VALUE"""),"20 КРЫТЫЕ")</f>
        <v>20 КРЫТЫЕ</v>
      </c>
      <c r="F314">
        <f ca="1">IFERROR(__xludf.DUMMYFUNCTION("""COMPUTED_VALUE"""),42103)</f>
        <v>42103</v>
      </c>
      <c r="G314" t="str">
        <f ca="1">IFERROR(__xludf.DUMMYFUNCTION("""COMPUTED_VALUE"""),"ВАГОНЫ ЖД СВ")</f>
        <v>ВАГОНЫ ЖД СВ</v>
      </c>
      <c r="H314">
        <f ca="1">IFERROR(__xludf.DUMMYFUNCTION("""COMPUTED_VALUE"""),0)</f>
        <v>0</v>
      </c>
      <c r="I314">
        <f ca="1">IFERROR(__xludf.DUMMYFUNCTION("""COMPUTED_VALUE"""),4026)</f>
        <v>4026</v>
      </c>
      <c r="J314" t="str">
        <f ca="1">IFERROR(__xludf.DUMMYFUNCTION("""COMPUTED_VALUE"""),"3504 (48620-047-48630) ВОЛНОВАХА - ВЕЛИКО-АНАД")</f>
        <v>3504 (48620-047-48630) ВОЛНОВАХА - ВЕЛИКО-АНАД</v>
      </c>
      <c r="K314">
        <f ca="1">IFERROR(__xludf.DUMMYFUNCTION("""COMPUTED_VALUE"""),48630)</f>
        <v>48630</v>
      </c>
      <c r="L314" t="str">
        <f ca="1">IFERROR(__xludf.DUMMYFUNCTION("""COMPUTED_VALUE"""),"ВЕЛИКО-АНАД")</f>
        <v>ВЕЛИКО-АНАД</v>
      </c>
      <c r="M314" t="str">
        <f ca="1">IFERROR(__xludf.DUMMYFUNCTION("""COMPUTED_VALUE"""),"09.08.21 01-20")</f>
        <v>09.08.21 01-20</v>
      </c>
      <c r="N314" t="str">
        <f ca="1">IFERROR(__xludf.DUMMYFUNCTION("""COMPUTED_VALUE"""),"98 ОТОТ")</f>
        <v>98 ОТОТ</v>
      </c>
      <c r="O314">
        <f ca="1">IFERROR(__xludf.DUMMYFUNCTION("""COMPUTED_VALUE"""),48630)</f>
        <v>48630</v>
      </c>
      <c r="P314" t="str">
        <f ca="1">IFERROR(__xludf.DUMMYFUNCTION("""COMPUTED_VALUE"""),"ВЕЛИКО-АНАД")</f>
        <v>ВЕЛИКО-АНАД</v>
      </c>
      <c r="Q314">
        <f ca="1">IFERROR(__xludf.DUMMYFUNCTION("""COMPUTED_VALUE"""),32040)</f>
        <v>32040</v>
      </c>
      <c r="R314" t="str">
        <f ca="1">IFERROR(__xludf.DUMMYFUNCTION("""COMPUTED_VALUE"""),"ГРУШКИ")</f>
        <v>ГРУШКИ</v>
      </c>
      <c r="S314" t="str">
        <f ca="1">IFERROR(__xludf.DUMMYFUNCTION("""COMPUTED_VALUE"""),"26.07.21 15-55")</f>
        <v>26.07.21 15-55</v>
      </c>
      <c r="T314">
        <f ca="1">IFERROR(__xludf.DUMMYFUNCTION("""COMPUTED_VALUE"""),4456)</f>
        <v>4456</v>
      </c>
      <c r="U314" t="str">
        <f ca="1">IFERROR(__xludf.DUMMYFUNCTION("""COMPUTED_VALUE"""),"19.04.2022 ДР")</f>
        <v>19.04.2022 ДР</v>
      </c>
      <c r="AA314" t="str">
        <f ca="1">IFERROR(__xludf.DUMMYFUNCTION("""COMPUTED_VALUE"""),"11-217")</f>
        <v>11-217</v>
      </c>
      <c r="AB314" t="str">
        <f ca="1">IFERROR(__xludf.DUMMYFUNCTION("""COMPUTED_VALUE"""),"35 ЛЬВ")</f>
        <v>35 ЛЬВ</v>
      </c>
      <c r="AC314" t="str">
        <f ca="1">IFERROR(__xludf.DUMMYFUNCTION("""COMPUTED_VALUE"""),"35250 ИЗОВ")</f>
        <v>35250 ИЗОВ</v>
      </c>
      <c r="AD314" t="str">
        <f ca="1">IFERROR(__xludf.DUMMYFUNCTION("""COMPUTED_VALUE"""),"23.05.21 05-01")</f>
        <v>23.05.21 05-01</v>
      </c>
      <c r="AE314" t="str">
        <f ca="1">IFERROR(__xludf.DUMMYFUNCTION("""COMPUTED_VALUE"""),"225 НЕИСПРАВНОСТЬ OПOPНOЙ ПPOКЛАДКИ В БУКCOВОМ ПPOEМЕ")</f>
        <v>225 НЕИСПРАВНОСТЬ OПOPНOЙ ПPOКЛАДКИ В БУКCOВОМ ПPOEМЕ</v>
      </c>
      <c r="AF314" t="str">
        <f ca="1">IFERROR(__xludf.DUMMYFUNCTION("""COMPUTED_VALUE"""),"35 ЛЬВ")</f>
        <v>35 ЛЬВ</v>
      </c>
      <c r="AG314" t="str">
        <f ca="1">IFERROR(__xludf.DUMMYFUNCTION("""COMPUTED_VALUE"""),"35250 ИЗОВ")</f>
        <v>35250 ИЗОВ</v>
      </c>
      <c r="AH314" t="str">
        <f ca="1">IFERROR(__xludf.DUMMYFUNCTION("""COMPUTED_VALUE"""),"23.05.21 17-20")</f>
        <v>23.05.21 17-20</v>
      </c>
      <c r="AI314" s="21">
        <f ca="1">IFERROR(__xludf.DUMMYFUNCTION("""COMPUTED_VALUE"""),44420.3576851851)</f>
        <v>44420.357685185103</v>
      </c>
    </row>
    <row r="315" spans="1:35" ht="13" x14ac:dyDescent="0.15">
      <c r="A315">
        <f ca="1">IFERROR(__xludf.DUMMYFUNCTION("""COMPUTED_VALUE"""),1650)</f>
        <v>1650</v>
      </c>
      <c r="B315" t="str">
        <f ca="1">IFERROR(__xludf.DUMMYFUNCTION("""COMPUTED_VALUE"""),"ВИК")</f>
        <v>ВИК</v>
      </c>
      <c r="C315" t="str">
        <f ca="1">IFERROR(__xludf.DUMMYFUNCTION("""COMPUTED_VALUE"""),"ВИК")</f>
        <v>ВИК</v>
      </c>
      <c r="D315">
        <f ca="1">IFERROR(__xludf.DUMMYFUNCTION("""COMPUTED_VALUE"""),24096745)</f>
        <v>24096745</v>
      </c>
      <c r="E315" t="str">
        <f ca="1">IFERROR(__xludf.DUMMYFUNCTION("""COMPUTED_VALUE"""),"20 КРЫТЫЕ")</f>
        <v>20 КРЫТЫЕ</v>
      </c>
      <c r="F315">
        <f ca="1">IFERROR(__xludf.DUMMYFUNCTION("""COMPUTED_VALUE"""),42103)</f>
        <v>42103</v>
      </c>
      <c r="G315" t="str">
        <f ca="1">IFERROR(__xludf.DUMMYFUNCTION("""COMPUTED_VALUE"""),"ВАГОНЫ ЖД СВ")</f>
        <v>ВАГОНЫ ЖД СВ</v>
      </c>
      <c r="H315">
        <f ca="1">IFERROR(__xludf.DUMMYFUNCTION("""COMPUTED_VALUE"""),0)</f>
        <v>0</v>
      </c>
      <c r="I315">
        <f ca="1">IFERROR(__xludf.DUMMYFUNCTION("""COMPUTED_VALUE"""),4149)</f>
        <v>4149</v>
      </c>
      <c r="J315" t="str">
        <f ca="1">IFERROR(__xludf.DUMMYFUNCTION("""COMPUTED_VALUE"""),"3802 (49640-063-49620)  - ДЕКОНСКАЯ")</f>
        <v>3802 (49640-063-49620)  - ДЕКОНСКАЯ</v>
      </c>
      <c r="K315">
        <f ca="1">IFERROR(__xludf.DUMMYFUNCTION("""COMPUTED_VALUE"""),49620)</f>
        <v>49620</v>
      </c>
      <c r="L315" t="str">
        <f ca="1">IFERROR(__xludf.DUMMYFUNCTION("""COMPUTED_VALUE"""),"ДЕКОНСКАЯ")</f>
        <v>ДЕКОНСКАЯ</v>
      </c>
      <c r="M315" t="str">
        <f ca="1">IFERROR(__xludf.DUMMYFUNCTION("""COMPUTED_VALUE"""),"06.08.21 21-50")</f>
        <v>06.08.21 21-50</v>
      </c>
      <c r="N315" t="str">
        <f ca="1">IFERROR(__xludf.DUMMYFUNCTION("""COMPUTED_VALUE"""),"98 ОТОТ")</f>
        <v>98 ОТОТ</v>
      </c>
      <c r="O315">
        <f ca="1">IFERROR(__xludf.DUMMYFUNCTION("""COMPUTED_VALUE"""),49620)</f>
        <v>49620</v>
      </c>
      <c r="P315" t="str">
        <f ca="1">IFERROR(__xludf.DUMMYFUNCTION("""COMPUTED_VALUE"""),"ДЕКОНСКАЯ")</f>
        <v>ДЕКОНСКАЯ</v>
      </c>
      <c r="Q315">
        <f ca="1">IFERROR(__xludf.DUMMYFUNCTION("""COMPUTED_VALUE"""),40200)</f>
        <v>40200</v>
      </c>
      <c r="R315" t="str">
        <f ca="1">IFERROR(__xludf.DUMMYFUNCTION("""COMPUTED_VALUE"""),"ЧЕРНОМОРСК-П")</f>
        <v>ЧЕРНОМОРСК-П</v>
      </c>
      <c r="S315" t="str">
        <f ca="1">IFERROR(__xludf.DUMMYFUNCTION("""COMPUTED_VALUE"""),"21.07.21 10-38")</f>
        <v>21.07.21 10-38</v>
      </c>
      <c r="T315">
        <f ca="1">IFERROR(__xludf.DUMMYFUNCTION("""COMPUTED_VALUE"""),4456)</f>
        <v>4456</v>
      </c>
      <c r="U315" t="str">
        <f ca="1">IFERROR(__xludf.DUMMYFUNCTION("""COMPUTED_VALUE"""),"11.06.2022 ДР")</f>
        <v>11.06.2022 ДР</v>
      </c>
      <c r="AA315" t="str">
        <f ca="1">IFERROR(__xludf.DUMMYFUNCTION("""COMPUTED_VALUE"""),"11-217")</f>
        <v>11-217</v>
      </c>
      <c r="AB315" t="str">
        <f ca="1">IFERROR(__xludf.DUMMYFUNCTION("""COMPUTED_VALUE"""),"40 ОД")</f>
        <v>40 ОД</v>
      </c>
      <c r="AC315" t="str">
        <f ca="1">IFERROR(__xludf.DUMMYFUNCTION("""COMPUTED_VALUE"""),"41190 ПОМОШНАЯ")</f>
        <v>41190 ПОМОШНАЯ</v>
      </c>
      <c r="AD315" t="str">
        <f ca="1">IFERROR(__xludf.DUMMYFUNCTION("""COMPUTED_VALUE"""),"24.05.21 10-00")</f>
        <v>24.05.21 10-00</v>
      </c>
      <c r="AE315" t="str">
        <f ca="1">IFERROR(__xludf.DUMMYFUNCTION("""COMPUTED_VALUE"""),"570 ИCТEК КAЛЕНДАРНЫЙ CPOК ДEПOВCКОГО PEМOНТA")</f>
        <v>570 ИCТEК КAЛЕНДАРНЫЙ CPOК ДEПOВCКОГО PEМOНТA</v>
      </c>
      <c r="AF315" t="str">
        <f ca="1">IFERROR(__xludf.DUMMYFUNCTION("""COMPUTED_VALUE"""),"40 ОД")</f>
        <v>40 ОД</v>
      </c>
      <c r="AG315" t="str">
        <f ca="1">IFERROR(__xludf.DUMMYFUNCTION("""COMPUTED_VALUE"""),"41190 ПОМОШНАЯ")</f>
        <v>41190 ПОМОШНАЯ</v>
      </c>
      <c r="AH315" t="str">
        <f ca="1">IFERROR(__xludf.DUMMYFUNCTION("""COMPUTED_VALUE"""),"11.06.21 19-00")</f>
        <v>11.06.21 19-00</v>
      </c>
      <c r="AI315" s="21">
        <f ca="1">IFERROR(__xludf.DUMMYFUNCTION("""COMPUTED_VALUE"""),44420.3576851851)</f>
        <v>44420.357685185103</v>
      </c>
    </row>
    <row r="316" spans="1:35" ht="13" x14ac:dyDescent="0.15">
      <c r="A316">
        <f ca="1">IFERROR(__xludf.DUMMYFUNCTION("""COMPUTED_VALUE"""),1651)</f>
        <v>1651</v>
      </c>
      <c r="B316" t="str">
        <f ca="1">IFERROR(__xludf.DUMMYFUNCTION("""COMPUTED_VALUE"""),"ВИК")</f>
        <v>ВИК</v>
      </c>
      <c r="C316" t="str">
        <f ca="1">IFERROR(__xludf.DUMMYFUNCTION("""COMPUTED_VALUE"""),"ВИК")</f>
        <v>ВИК</v>
      </c>
      <c r="D316">
        <f ca="1">IFERROR(__xludf.DUMMYFUNCTION("""COMPUTED_VALUE"""),24096778)</f>
        <v>24096778</v>
      </c>
      <c r="E316" t="str">
        <f ca="1">IFERROR(__xludf.DUMMYFUNCTION("""COMPUTED_VALUE"""),"20 КРЫТЫЕ")</f>
        <v>20 КРЫТЫЕ</v>
      </c>
      <c r="F316">
        <f ca="1">IFERROR(__xludf.DUMMYFUNCTION("""COMPUTED_VALUE"""),42103)</f>
        <v>42103</v>
      </c>
      <c r="G316" t="str">
        <f ca="1">IFERROR(__xludf.DUMMYFUNCTION("""COMPUTED_VALUE"""),"ВАГОНЫ ЖД СВ")</f>
        <v>ВАГОНЫ ЖД СВ</v>
      </c>
      <c r="H316">
        <f ca="1">IFERROR(__xludf.DUMMYFUNCTION("""COMPUTED_VALUE"""),0)</f>
        <v>0</v>
      </c>
      <c r="I316">
        <f ca="1">IFERROR(__xludf.DUMMYFUNCTION("""COMPUTED_VALUE"""),4714)</f>
        <v>4714</v>
      </c>
      <c r="J316" t="str">
        <f ca="1">IFERROR(__xludf.DUMMYFUNCTION("""COMPUTED_VALUE"""),"3574 (49460-087-49000) БАХМУТ - ЛИМАН")</f>
        <v>3574 (49460-087-49000) БАХМУТ - ЛИМАН</v>
      </c>
      <c r="K316">
        <f ca="1">IFERROR(__xludf.DUMMYFUNCTION("""COMPUTED_VALUE"""),49480)</f>
        <v>49480</v>
      </c>
      <c r="L316" t="str">
        <f ca="1">IFERROR(__xludf.DUMMYFUNCTION("""COMPUTED_VALUE"""),"СОЛЬ")</f>
        <v>СОЛЬ</v>
      </c>
      <c r="M316" t="str">
        <f ca="1">IFERROR(__xludf.DUMMYFUNCTION("""COMPUTED_VALUE"""),"29.07.21 12-05")</f>
        <v>29.07.21 12-05</v>
      </c>
      <c r="N316" t="str">
        <f ca="1">IFERROR(__xludf.DUMMYFUNCTION("""COMPUTED_VALUE"""),"98 ОТОТ")</f>
        <v>98 ОТОТ</v>
      </c>
      <c r="O316">
        <f ca="1">IFERROR(__xludf.DUMMYFUNCTION("""COMPUTED_VALUE"""),49480)</f>
        <v>49480</v>
      </c>
      <c r="P316" t="str">
        <f ca="1">IFERROR(__xludf.DUMMYFUNCTION("""COMPUTED_VALUE"""),"СОЛЬ")</f>
        <v>СОЛЬ</v>
      </c>
      <c r="Q316">
        <f ca="1">IFERROR(__xludf.DUMMYFUNCTION("""COMPUTED_VALUE"""),32060)</f>
        <v>32060</v>
      </c>
      <c r="R316" t="str">
        <f ca="1">IFERROR(__xludf.DUMMYFUNCTION("""COMPUTED_VALUE"""),"ПОЧАЙНА")</f>
        <v>ПОЧАЙНА</v>
      </c>
      <c r="S316" t="str">
        <f ca="1">IFERROR(__xludf.DUMMYFUNCTION("""COMPUTED_VALUE"""),"21.07.21 11-10")</f>
        <v>21.07.21 11-10</v>
      </c>
      <c r="T316">
        <f ca="1">IFERROR(__xludf.DUMMYFUNCTION("""COMPUTED_VALUE"""),4456)</f>
        <v>4456</v>
      </c>
      <c r="U316" t="str">
        <f ca="1">IFERROR(__xludf.DUMMYFUNCTION("""COMPUTED_VALUE"""),"31.03.2022 ДР")</f>
        <v>31.03.2022 ДР</v>
      </c>
      <c r="AA316" t="str">
        <f ca="1">IFERROR(__xludf.DUMMYFUNCTION("""COMPUTED_VALUE"""),"11-217")</f>
        <v>11-217</v>
      </c>
      <c r="AB316" t="str">
        <f ca="1">IFERROR(__xludf.DUMMYFUNCTION("""COMPUTED_VALUE"""),"40 ОД")</f>
        <v>40 ОД</v>
      </c>
      <c r="AC316" t="str">
        <f ca="1">IFERROR(__xludf.DUMMYFUNCTION("""COMPUTED_VALUE"""),"41190 ПОМОШНАЯ")</f>
        <v>41190 ПОМОШНАЯ</v>
      </c>
      <c r="AD316" t="str">
        <f ca="1">IFERROR(__xludf.DUMMYFUNCTION("""COMPUTED_VALUE"""),"23.03.21 12-00")</f>
        <v>23.03.21 12-00</v>
      </c>
      <c r="AE316" t="str">
        <f ca="1">IFERROR(__xludf.DUMMYFUNCTION("""COMPUTED_VALUE"""),"570 ИCТEК КAЛЕНДАРНЫЙ CPOК ДEПOВCКОГО PEМOНТA")</f>
        <v>570 ИCТEК КAЛЕНДАРНЫЙ CPOК ДEПOВCКОГО PEМOНТA</v>
      </c>
      <c r="AF316" t="str">
        <f ca="1">IFERROR(__xludf.DUMMYFUNCTION("""COMPUTED_VALUE"""),"40 ОД")</f>
        <v>40 ОД</v>
      </c>
      <c r="AG316" t="str">
        <f ca="1">IFERROR(__xludf.DUMMYFUNCTION("""COMPUTED_VALUE"""),"41190 ПОМОШНАЯ")</f>
        <v>41190 ПОМОШНАЯ</v>
      </c>
      <c r="AH316" t="str">
        <f ca="1">IFERROR(__xludf.DUMMYFUNCTION("""COMPUTED_VALUE"""),"31.03.21 13-35")</f>
        <v>31.03.21 13-35</v>
      </c>
      <c r="AI316" s="21">
        <f ca="1">IFERROR(__xludf.DUMMYFUNCTION("""COMPUTED_VALUE"""),44420.3576851851)</f>
        <v>44420.357685185103</v>
      </c>
    </row>
    <row r="317" spans="1:35" ht="13" x14ac:dyDescent="0.15">
      <c r="A317">
        <f ca="1">IFERROR(__xludf.DUMMYFUNCTION("""COMPUTED_VALUE"""),1652)</f>
        <v>1652</v>
      </c>
      <c r="B317" t="str">
        <f ca="1">IFERROR(__xludf.DUMMYFUNCTION("""COMPUTED_VALUE"""),"ВИК")</f>
        <v>ВИК</v>
      </c>
      <c r="C317" t="str">
        <f ca="1">IFERROR(__xludf.DUMMYFUNCTION("""COMPUTED_VALUE"""),"ВИК")</f>
        <v>ВИК</v>
      </c>
      <c r="D317">
        <f ca="1">IFERROR(__xludf.DUMMYFUNCTION("""COMPUTED_VALUE"""),24096786)</f>
        <v>24096786</v>
      </c>
      <c r="E317" t="str">
        <f ca="1">IFERROR(__xludf.DUMMYFUNCTION("""COMPUTED_VALUE"""),"20 КРЫТЫЕ")</f>
        <v>20 КРЫТЫЕ</v>
      </c>
      <c r="F317">
        <f ca="1">IFERROR(__xludf.DUMMYFUNCTION("""COMPUTED_VALUE"""),42103)</f>
        <v>42103</v>
      </c>
      <c r="G317" t="str">
        <f ca="1">IFERROR(__xludf.DUMMYFUNCTION("""COMPUTED_VALUE"""),"ВАГОНЫ ЖД СВ")</f>
        <v>ВАГОНЫ ЖД СВ</v>
      </c>
      <c r="H317">
        <f ca="1">IFERROR(__xludf.DUMMYFUNCTION("""COMPUTED_VALUE"""),0)</f>
        <v>0</v>
      </c>
      <c r="I317">
        <f ca="1">IFERROR(__xludf.DUMMYFUNCTION("""COMPUTED_VALUE"""),4714)</f>
        <v>4714</v>
      </c>
      <c r="J317" t="str">
        <f ca="1">IFERROR(__xludf.DUMMYFUNCTION("""COMPUTED_VALUE"""),"3574 (49460-087-49000) БАХМУТ - ЛИМАН")</f>
        <v>3574 (49460-087-49000) БАХМУТ - ЛИМАН</v>
      </c>
      <c r="K317">
        <f ca="1">IFERROR(__xludf.DUMMYFUNCTION("""COMPUTED_VALUE"""),49480)</f>
        <v>49480</v>
      </c>
      <c r="L317" t="str">
        <f ca="1">IFERROR(__xludf.DUMMYFUNCTION("""COMPUTED_VALUE"""),"СОЛЬ")</f>
        <v>СОЛЬ</v>
      </c>
      <c r="M317" t="str">
        <f ca="1">IFERROR(__xludf.DUMMYFUNCTION("""COMPUTED_VALUE"""),"29.07.21 13-00")</f>
        <v>29.07.21 13-00</v>
      </c>
      <c r="N317" t="str">
        <f ca="1">IFERROR(__xludf.DUMMYFUNCTION("""COMPUTED_VALUE"""),"98 ОТОТ")</f>
        <v>98 ОТОТ</v>
      </c>
      <c r="O317">
        <f ca="1">IFERROR(__xludf.DUMMYFUNCTION("""COMPUTED_VALUE"""),49480)</f>
        <v>49480</v>
      </c>
      <c r="P317" t="str">
        <f ca="1">IFERROR(__xludf.DUMMYFUNCTION("""COMPUTED_VALUE"""),"СОЛЬ")</f>
        <v>СОЛЬ</v>
      </c>
      <c r="Q317">
        <f ca="1">IFERROR(__xludf.DUMMYFUNCTION("""COMPUTED_VALUE"""),32210)</f>
        <v>32210</v>
      </c>
      <c r="R317" t="str">
        <f ca="1">IFERROR(__xludf.DUMMYFUNCTION("""COMPUTED_VALUE"""),"БУЧА")</f>
        <v>БУЧА</v>
      </c>
      <c r="S317" t="str">
        <f ca="1">IFERROR(__xludf.DUMMYFUNCTION("""COMPUTED_VALUE"""),"15.07.21 17-20")</f>
        <v>15.07.21 17-20</v>
      </c>
      <c r="T317">
        <f ca="1">IFERROR(__xludf.DUMMYFUNCTION("""COMPUTED_VALUE"""),4456)</f>
        <v>4456</v>
      </c>
      <c r="U317" t="str">
        <f ca="1">IFERROR(__xludf.DUMMYFUNCTION("""COMPUTED_VALUE"""),"30.03.2022 ДР")</f>
        <v>30.03.2022 ДР</v>
      </c>
      <c r="AA317" t="str">
        <f ca="1">IFERROR(__xludf.DUMMYFUNCTION("""COMPUTED_VALUE"""),"11-217")</f>
        <v>11-217</v>
      </c>
      <c r="AB317" t="str">
        <f ca="1">IFERROR(__xludf.DUMMYFUNCTION("""COMPUTED_VALUE"""),"40 ОД")</f>
        <v>40 ОД</v>
      </c>
      <c r="AC317" t="str">
        <f ca="1">IFERROR(__xludf.DUMMYFUNCTION("""COMPUTED_VALUE"""),"41190 ПОМОШНАЯ")</f>
        <v>41190 ПОМОШНАЯ</v>
      </c>
      <c r="AD317" t="str">
        <f ca="1">IFERROR(__xludf.DUMMYFUNCTION("""COMPUTED_VALUE"""),"18.03.21 08-00")</f>
        <v>18.03.21 08-00</v>
      </c>
      <c r="AE317" t="str">
        <f ca="1">IFERROR(__xludf.DUMMYFUNCTION("""COMPUTED_VALUE"""),"570 ИCТEК КAЛЕНДАРНЫЙ CPOК ДEПOВCКОГО PEМOНТA")</f>
        <v>570 ИCТEК КAЛЕНДАРНЫЙ CPOК ДEПOВCКОГО PEМOНТA</v>
      </c>
      <c r="AF317" t="str">
        <f ca="1">IFERROR(__xludf.DUMMYFUNCTION("""COMPUTED_VALUE"""),"40 ОД")</f>
        <v>40 ОД</v>
      </c>
      <c r="AG317" t="str">
        <f ca="1">IFERROR(__xludf.DUMMYFUNCTION("""COMPUTED_VALUE"""),"41190 ПОМОШНАЯ")</f>
        <v>41190 ПОМОШНАЯ</v>
      </c>
      <c r="AH317" t="str">
        <f ca="1">IFERROR(__xludf.DUMMYFUNCTION("""COMPUTED_VALUE"""),"30.03.21 17-30")</f>
        <v>30.03.21 17-30</v>
      </c>
      <c r="AI317" s="21">
        <f ca="1">IFERROR(__xludf.DUMMYFUNCTION("""COMPUTED_VALUE"""),44420.3576851851)</f>
        <v>44420.357685185103</v>
      </c>
    </row>
    <row r="318" spans="1:35" ht="13" x14ac:dyDescent="0.15">
      <c r="A318">
        <f ca="1">IFERROR(__xludf.DUMMYFUNCTION("""COMPUTED_VALUE"""),1653)</f>
        <v>1653</v>
      </c>
      <c r="B318" t="str">
        <f ca="1">IFERROR(__xludf.DUMMYFUNCTION("""COMPUTED_VALUE"""),"ВИК")</f>
        <v>ВИК</v>
      </c>
      <c r="C318" t="str">
        <f ca="1">IFERROR(__xludf.DUMMYFUNCTION("""COMPUTED_VALUE"""),"ВИК")</f>
        <v>ВИК</v>
      </c>
      <c r="D318">
        <f ca="1">IFERROR(__xludf.DUMMYFUNCTION("""COMPUTED_VALUE"""),24096802)</f>
        <v>24096802</v>
      </c>
      <c r="E318" t="str">
        <f ca="1">IFERROR(__xludf.DUMMYFUNCTION("""COMPUTED_VALUE"""),"20 КРЫТЫЕ")</f>
        <v>20 КРЫТЫЕ</v>
      </c>
      <c r="F318">
        <f ca="1">IFERROR(__xludf.DUMMYFUNCTION("""COMPUTED_VALUE"""),42103)</f>
        <v>42103</v>
      </c>
      <c r="G318" t="str">
        <f ca="1">IFERROR(__xludf.DUMMYFUNCTION("""COMPUTED_VALUE"""),"ВАГОНЫ ЖД СВ")</f>
        <v>ВАГОНЫ ЖД СВ</v>
      </c>
      <c r="H318">
        <f ca="1">IFERROR(__xludf.DUMMYFUNCTION("""COMPUTED_VALUE"""),0)</f>
        <v>0</v>
      </c>
      <c r="I318">
        <f ca="1">IFERROR(__xludf.DUMMYFUNCTION("""COMPUTED_VALUE"""),4714)</f>
        <v>4714</v>
      </c>
      <c r="J318" t="str">
        <f ca="1">IFERROR(__xludf.DUMMYFUNCTION("""COMPUTED_VALUE"""),"3574 (49460-087-49000) БАХМУТ - ЛИМАН")</f>
        <v>3574 (49460-087-49000) БАХМУТ - ЛИМАН</v>
      </c>
      <c r="K318">
        <f ca="1">IFERROR(__xludf.DUMMYFUNCTION("""COMPUTED_VALUE"""),49480)</f>
        <v>49480</v>
      </c>
      <c r="L318" t="str">
        <f ca="1">IFERROR(__xludf.DUMMYFUNCTION("""COMPUTED_VALUE"""),"СОЛЬ")</f>
        <v>СОЛЬ</v>
      </c>
      <c r="M318" t="str">
        <f ca="1">IFERROR(__xludf.DUMMYFUNCTION("""COMPUTED_VALUE"""),"29.07.21 13-00")</f>
        <v>29.07.21 13-00</v>
      </c>
      <c r="N318" t="str">
        <f ca="1">IFERROR(__xludf.DUMMYFUNCTION("""COMPUTED_VALUE"""),"98 ОТОТ")</f>
        <v>98 ОТОТ</v>
      </c>
      <c r="O318">
        <f ca="1">IFERROR(__xludf.DUMMYFUNCTION("""COMPUTED_VALUE"""),49480)</f>
        <v>49480</v>
      </c>
      <c r="P318" t="str">
        <f ca="1">IFERROR(__xludf.DUMMYFUNCTION("""COMPUTED_VALUE"""),"СОЛЬ")</f>
        <v>СОЛЬ</v>
      </c>
      <c r="Q318">
        <f ca="1">IFERROR(__xludf.DUMMYFUNCTION("""COMPUTED_VALUE"""),36000)</f>
        <v>36000</v>
      </c>
      <c r="R318" t="str">
        <f ca="1">IFERROR(__xludf.DUMMYFUNCTION("""COMPUTED_VALUE"""),"ТЕРНОПОЛЬ")</f>
        <v>ТЕРНОПОЛЬ</v>
      </c>
      <c r="S318" t="str">
        <f ca="1">IFERROR(__xludf.DUMMYFUNCTION("""COMPUTED_VALUE"""),"13.07.21 19-10")</f>
        <v>13.07.21 19-10</v>
      </c>
      <c r="T318">
        <f ca="1">IFERROR(__xludf.DUMMYFUNCTION("""COMPUTED_VALUE"""),4456)</f>
        <v>4456</v>
      </c>
      <c r="U318" t="str">
        <f ca="1">IFERROR(__xludf.DUMMYFUNCTION("""COMPUTED_VALUE"""),"27.09.2022 ДР")</f>
        <v>27.09.2022 ДР</v>
      </c>
      <c r="AA318" t="str">
        <f ca="1">IFERROR(__xludf.DUMMYFUNCTION("""COMPUTED_VALUE"""),"11-217")</f>
        <v>11-217</v>
      </c>
      <c r="AB318" t="str">
        <f ca="1">IFERROR(__xludf.DUMMYFUNCTION("""COMPUTED_VALUE"""),"40 ОД")</f>
        <v>40 ОД</v>
      </c>
      <c r="AC318" t="str">
        <f ca="1">IFERROR(__xludf.DUMMYFUNCTION("""COMPUTED_VALUE"""),"41190 ПОМОШНАЯ")</f>
        <v>41190 ПОМОШНАЯ</v>
      </c>
      <c r="AD318" t="str">
        <f ca="1">IFERROR(__xludf.DUMMYFUNCTION("""COMPUTED_VALUE"""),"24.09.20 09-00")</f>
        <v>24.09.20 09-00</v>
      </c>
      <c r="AE318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18" t="str">
        <f ca="1">IFERROR(__xludf.DUMMYFUNCTION("""COMPUTED_VALUE"""),"40 ОД")</f>
        <v>40 ОД</v>
      </c>
      <c r="AG318" t="str">
        <f ca="1">IFERROR(__xludf.DUMMYFUNCTION("""COMPUTED_VALUE"""),"41190 ПОМОШНАЯ")</f>
        <v>41190 ПОМОШНАЯ</v>
      </c>
      <c r="AH318" t="str">
        <f ca="1">IFERROR(__xludf.DUMMYFUNCTION("""COMPUTED_VALUE"""),"27.09.20 17-30")</f>
        <v>27.09.20 17-30</v>
      </c>
      <c r="AI318" s="21">
        <f ca="1">IFERROR(__xludf.DUMMYFUNCTION("""COMPUTED_VALUE"""),44420.3576851851)</f>
        <v>44420.357685185103</v>
      </c>
    </row>
    <row r="319" spans="1:35" ht="13" x14ac:dyDescent="0.15">
      <c r="A319">
        <f ca="1">IFERROR(__xludf.DUMMYFUNCTION("""COMPUTED_VALUE"""),1654)</f>
        <v>1654</v>
      </c>
      <c r="B319" t="str">
        <f ca="1">IFERROR(__xludf.DUMMYFUNCTION("""COMPUTED_VALUE"""),"ВИК")</f>
        <v>ВИК</v>
      </c>
      <c r="C319" t="str">
        <f ca="1">IFERROR(__xludf.DUMMYFUNCTION("""COMPUTED_VALUE"""),"ВИК")</f>
        <v>ВИК</v>
      </c>
      <c r="D319">
        <f ca="1">IFERROR(__xludf.DUMMYFUNCTION("""COMPUTED_VALUE"""),24096828)</f>
        <v>24096828</v>
      </c>
      <c r="E319" t="str">
        <f ca="1">IFERROR(__xludf.DUMMYFUNCTION("""COMPUTED_VALUE"""),"20 КРЫТЫЕ")</f>
        <v>20 КРЫТЫЕ</v>
      </c>
      <c r="F319">
        <f ca="1">IFERROR(__xludf.DUMMYFUNCTION("""COMPUTED_VALUE"""),42103)</f>
        <v>42103</v>
      </c>
      <c r="G319" t="str">
        <f ca="1">IFERROR(__xludf.DUMMYFUNCTION("""COMPUTED_VALUE"""),"ВАГОНЫ ЖД СВ")</f>
        <v>ВАГОНЫ ЖД СВ</v>
      </c>
      <c r="H319">
        <f ca="1">IFERROR(__xludf.DUMMYFUNCTION("""COMPUTED_VALUE"""),0)</f>
        <v>0</v>
      </c>
      <c r="I319">
        <f ca="1">IFERROR(__xludf.DUMMYFUNCTION("""COMPUTED_VALUE"""),4714)</f>
        <v>4714</v>
      </c>
      <c r="J319" t="str">
        <f ca="1">IFERROR(__xludf.DUMMYFUNCTION("""COMPUTED_VALUE"""),"3574 (49460-087-49000) БАХМУТ - ЛИМАН")</f>
        <v>3574 (49460-087-49000) БАХМУТ - ЛИМАН</v>
      </c>
      <c r="K319">
        <f ca="1">IFERROR(__xludf.DUMMYFUNCTION("""COMPUTED_VALUE"""),49480)</f>
        <v>49480</v>
      </c>
      <c r="L319" t="str">
        <f ca="1">IFERROR(__xludf.DUMMYFUNCTION("""COMPUTED_VALUE"""),"СОЛЬ")</f>
        <v>СОЛЬ</v>
      </c>
      <c r="M319" t="str">
        <f ca="1">IFERROR(__xludf.DUMMYFUNCTION("""COMPUTED_VALUE"""),"29.07.21 12-05")</f>
        <v>29.07.21 12-05</v>
      </c>
      <c r="N319" t="str">
        <f ca="1">IFERROR(__xludf.DUMMYFUNCTION("""COMPUTED_VALUE"""),"98 ОТОТ")</f>
        <v>98 ОТОТ</v>
      </c>
      <c r="O319">
        <f ca="1">IFERROR(__xludf.DUMMYFUNCTION("""COMPUTED_VALUE"""),49480)</f>
        <v>49480</v>
      </c>
      <c r="P319" t="str">
        <f ca="1">IFERROR(__xludf.DUMMYFUNCTION("""COMPUTED_VALUE"""),"СОЛЬ")</f>
        <v>СОЛЬ</v>
      </c>
      <c r="Q319">
        <f ca="1">IFERROR(__xludf.DUMMYFUNCTION("""COMPUTED_VALUE"""),32040)</f>
        <v>32040</v>
      </c>
      <c r="R319" t="str">
        <f ca="1">IFERROR(__xludf.DUMMYFUNCTION("""COMPUTED_VALUE"""),"ГРУШКИ")</f>
        <v>ГРУШКИ</v>
      </c>
      <c r="S319" t="str">
        <f ca="1">IFERROR(__xludf.DUMMYFUNCTION("""COMPUTED_VALUE"""),"19.07.21 11-00")</f>
        <v>19.07.21 11-00</v>
      </c>
      <c r="T319">
        <f ca="1">IFERROR(__xludf.DUMMYFUNCTION("""COMPUTED_VALUE"""),4456)</f>
        <v>4456</v>
      </c>
      <c r="U319" t="str">
        <f ca="1">IFERROR(__xludf.DUMMYFUNCTION("""COMPUTED_VALUE"""),"15.07.2023 ДР")</f>
        <v>15.07.2023 ДР</v>
      </c>
      <c r="AA319" t="str">
        <f ca="1">IFERROR(__xludf.DUMMYFUNCTION("""COMPUTED_VALUE"""),"11-217")</f>
        <v>11-217</v>
      </c>
      <c r="AB319" t="str">
        <f ca="1">IFERROR(__xludf.DUMMYFUNCTION("""COMPUTED_VALUE"""),"40 ОД")</f>
        <v>40 ОД</v>
      </c>
      <c r="AC319" t="str">
        <f ca="1">IFERROR(__xludf.DUMMYFUNCTION("""COMPUTED_VALUE"""),"41190 ПОМОШНАЯ")</f>
        <v>41190 ПОМОШНАЯ</v>
      </c>
      <c r="AD319" t="str">
        <f ca="1">IFERROR(__xludf.DUMMYFUNCTION("""COMPUTED_VALUE"""),"11.07.20 08-00")</f>
        <v>11.07.20 08-00</v>
      </c>
      <c r="AE319" t="str">
        <f ca="1">IFERROR(__xludf.DUMMYFUNCTION("""COMPUTED_VALUE"""),"570 ИCТEК КAЛЕНДАРНЫЙ CPOК ДEПOВCКОГО PEМOНТA")</f>
        <v>570 ИCТEК КAЛЕНДАРНЫЙ CPOК ДEПOВCКОГО PEМOНТA</v>
      </c>
      <c r="AF319" t="str">
        <f ca="1">IFERROR(__xludf.DUMMYFUNCTION("""COMPUTED_VALUE"""),"40 ОД")</f>
        <v>40 ОД</v>
      </c>
      <c r="AG319" t="str">
        <f ca="1">IFERROR(__xludf.DUMMYFUNCTION("""COMPUTED_VALUE"""),"41190 ПОМОШНАЯ")</f>
        <v>41190 ПОМОШНАЯ</v>
      </c>
      <c r="AH319" t="str">
        <f ca="1">IFERROR(__xludf.DUMMYFUNCTION("""COMPUTED_VALUE"""),"15.07.20 10-30")</f>
        <v>15.07.20 10-30</v>
      </c>
      <c r="AI319" s="21">
        <f ca="1">IFERROR(__xludf.DUMMYFUNCTION("""COMPUTED_VALUE"""),44420.3576851851)</f>
        <v>44420.357685185103</v>
      </c>
    </row>
    <row r="320" spans="1:35" ht="13" x14ac:dyDescent="0.15">
      <c r="A320">
        <f ca="1">IFERROR(__xludf.DUMMYFUNCTION("""COMPUTED_VALUE"""),1655)</f>
        <v>1655</v>
      </c>
      <c r="B320" t="str">
        <f ca="1">IFERROR(__xludf.DUMMYFUNCTION("""COMPUTED_VALUE"""),"ВИК")</f>
        <v>ВИК</v>
      </c>
      <c r="C320" t="str">
        <f ca="1">IFERROR(__xludf.DUMMYFUNCTION("""COMPUTED_VALUE"""),"ВИК")</f>
        <v>ВИК</v>
      </c>
      <c r="D320">
        <f ca="1">IFERROR(__xludf.DUMMYFUNCTION("""COMPUTED_VALUE"""),24096851)</f>
        <v>24096851</v>
      </c>
      <c r="E320" t="str">
        <f ca="1">IFERROR(__xludf.DUMMYFUNCTION("""COMPUTED_VALUE"""),"20 КРЫТЫЕ")</f>
        <v>20 КРЫТЫЕ</v>
      </c>
      <c r="F320">
        <f ca="1">IFERROR(__xludf.DUMMYFUNCTION("""COMPUTED_VALUE"""),42103)</f>
        <v>42103</v>
      </c>
      <c r="G320" t="str">
        <f ca="1">IFERROR(__xludf.DUMMYFUNCTION("""COMPUTED_VALUE"""),"ВАГОНЫ ЖД СВ")</f>
        <v>ВАГОНЫ ЖД СВ</v>
      </c>
      <c r="H320">
        <f ca="1">IFERROR(__xludf.DUMMYFUNCTION("""COMPUTED_VALUE"""),0)</f>
        <v>0</v>
      </c>
      <c r="I320">
        <f ca="1">IFERROR(__xludf.DUMMYFUNCTION("""COMPUTED_VALUE"""),4149)</f>
        <v>4149</v>
      </c>
      <c r="J320" t="str">
        <f ca="1">IFERROR(__xludf.DUMMYFUNCTION("""COMPUTED_VALUE"""),"3802 (49460-038-49640) БАХМУТ -")</f>
        <v>3802 (49460-038-49640) БАХМУТ -</v>
      </c>
      <c r="K320">
        <f ca="1">IFERROR(__xludf.DUMMYFUNCTION("""COMPUTED_VALUE"""),49620)</f>
        <v>49620</v>
      </c>
      <c r="L320" t="str">
        <f ca="1">IFERROR(__xludf.DUMMYFUNCTION("""COMPUTED_VALUE"""),"ДЕКОНСКАЯ")</f>
        <v>ДЕКОНСКАЯ</v>
      </c>
      <c r="M320" t="str">
        <f ca="1">IFERROR(__xludf.DUMMYFUNCTION("""COMPUTED_VALUE"""),"10.08.21 21-00")</f>
        <v>10.08.21 21-00</v>
      </c>
      <c r="N320" t="str">
        <f ca="1">IFERROR(__xludf.DUMMYFUNCTION("""COMPUTED_VALUE"""),"98 ОТОТ")</f>
        <v>98 ОТОТ</v>
      </c>
      <c r="O320">
        <f ca="1">IFERROR(__xludf.DUMMYFUNCTION("""COMPUTED_VALUE"""),49620)</f>
        <v>49620</v>
      </c>
      <c r="P320" t="str">
        <f ca="1">IFERROR(__xludf.DUMMYFUNCTION("""COMPUTED_VALUE"""),"ДЕКОНСКАЯ")</f>
        <v>ДЕКОНСКАЯ</v>
      </c>
      <c r="Q320">
        <f ca="1">IFERROR(__xludf.DUMMYFUNCTION("""COMPUTED_VALUE"""),35660)</f>
        <v>35660</v>
      </c>
      <c r="R320" t="str">
        <f ca="1">IFERROR(__xludf.DUMMYFUNCTION("""COMPUTED_VALUE"""),"РОВНО")</f>
        <v>РОВНО</v>
      </c>
      <c r="S320" t="str">
        <f ca="1">IFERROR(__xludf.DUMMYFUNCTION("""COMPUTED_VALUE"""),"02.08.21 15-20")</f>
        <v>02.08.21 15-20</v>
      </c>
      <c r="T320">
        <f ca="1">IFERROR(__xludf.DUMMYFUNCTION("""COMPUTED_VALUE"""),4456)</f>
        <v>4456</v>
      </c>
      <c r="U320" t="str">
        <f ca="1">IFERROR(__xludf.DUMMYFUNCTION("""COMPUTED_VALUE"""),"11.05.2022 ДР")</f>
        <v>11.05.2022 ДР</v>
      </c>
      <c r="AA320" t="str">
        <f ca="1">IFERROR(__xludf.DUMMYFUNCTION("""COMPUTED_VALUE"""),"11-217")</f>
        <v>11-217</v>
      </c>
      <c r="AB320" t="str">
        <f ca="1">IFERROR(__xludf.DUMMYFUNCTION("""COMPUTED_VALUE"""),"40 ОД")</f>
        <v>40 ОД</v>
      </c>
      <c r="AC320" t="str">
        <f ca="1">IFERROR(__xludf.DUMMYFUNCTION("""COMPUTED_VALUE"""),"42000 ИМ.Т.ШЕВЧЕНК")</f>
        <v>42000 ИМ.Т.ШЕВЧЕНК</v>
      </c>
      <c r="AD320" t="str">
        <f ca="1">IFERROR(__xludf.DUMMYFUNCTION("""COMPUTED_VALUE"""),"10.05.19 07-50")</f>
        <v>10.05.19 07-50</v>
      </c>
      <c r="AE320" t="str">
        <f ca="1">IFERROR(__xludf.DUMMYFUNCTION("""COMPUTED_VALUE"""),"571 ИCТEК КAЛЕНДАРНЫЙ CPOК КAПИТAЛЬНОГО PEМOНТA")</f>
        <v>571 ИCТEК КAЛЕНДАРНЫЙ CPOК КAПИТAЛЬНОГО PEМOНТA</v>
      </c>
      <c r="AF320" t="str">
        <f ca="1">IFERROR(__xludf.DUMMYFUNCTION("""COMPUTED_VALUE"""),"40 ОД")</f>
        <v>40 ОД</v>
      </c>
      <c r="AG320" t="str">
        <f ca="1">IFERROR(__xludf.DUMMYFUNCTION("""COMPUTED_VALUE"""),"42000 ИМ.Т.ШЕВЧЕНК")</f>
        <v>42000 ИМ.Т.ШЕВЧЕНК</v>
      </c>
      <c r="AH320" t="str">
        <f ca="1">IFERROR(__xludf.DUMMYFUNCTION("""COMPUTED_VALUE"""),"11.05.19 13-20")</f>
        <v>11.05.19 13-20</v>
      </c>
      <c r="AI320" s="21">
        <f ca="1">IFERROR(__xludf.DUMMYFUNCTION("""COMPUTED_VALUE"""),44420.3576851851)</f>
        <v>44420.357685185103</v>
      </c>
    </row>
    <row r="321" spans="1:35" ht="13" x14ac:dyDescent="0.15">
      <c r="A321">
        <f ca="1">IFERROR(__xludf.DUMMYFUNCTION("""COMPUTED_VALUE"""),1656)</f>
        <v>1656</v>
      </c>
      <c r="B321" t="str">
        <f ca="1">IFERROR(__xludf.DUMMYFUNCTION("""COMPUTED_VALUE"""),"ВИК")</f>
        <v>ВИК</v>
      </c>
      <c r="C321" t="str">
        <f ca="1">IFERROR(__xludf.DUMMYFUNCTION("""COMPUTED_VALUE"""),"ВИК")</f>
        <v>ВИК</v>
      </c>
      <c r="D321">
        <f ca="1">IFERROR(__xludf.DUMMYFUNCTION("""COMPUTED_VALUE"""),24096869)</f>
        <v>24096869</v>
      </c>
      <c r="E321" t="str">
        <f ca="1">IFERROR(__xludf.DUMMYFUNCTION("""COMPUTED_VALUE"""),"20 КРЫТЫЕ")</f>
        <v>20 КРЫТЫЕ</v>
      </c>
      <c r="F321">
        <f ca="1">IFERROR(__xludf.DUMMYFUNCTION("""COMPUTED_VALUE"""),23304)</f>
        <v>23304</v>
      </c>
      <c r="G321" t="str">
        <f ca="1">IFERROR(__xludf.DUMMYFUNCTION("""COMPUTED_VALUE"""),"ГИПС ПР")</f>
        <v>ГИПС ПР</v>
      </c>
      <c r="H321">
        <f ca="1">IFERROR(__xludf.DUMMYFUNCTION("""COMPUTED_VALUE"""),68)</f>
        <v>68</v>
      </c>
      <c r="I321">
        <f ca="1">IFERROR(__xludf.DUMMYFUNCTION("""COMPUTED_VALUE"""),3802)</f>
        <v>3802</v>
      </c>
      <c r="J321" t="str">
        <f ca="1">IFERROR(__xludf.DUMMYFUNCTION("""COMPUTED_VALUE"""),"2001 (40000-404-40850) ОДЕССА-СОРТ - ВАПНЯРКА")</f>
        <v>2001 (40000-404-40850) ОДЕССА-СОРТ - ВАПНЯРКА</v>
      </c>
      <c r="K321">
        <f ca="1">IFERROR(__xludf.DUMMYFUNCTION("""COMPUTED_VALUE"""),40000)</f>
        <v>40000</v>
      </c>
      <c r="L321" t="str">
        <f ca="1">IFERROR(__xludf.DUMMYFUNCTION("""COMPUTED_VALUE"""),"ОДЕССА-СОРТ")</f>
        <v>ОДЕССА-СОРТ</v>
      </c>
      <c r="M321" t="str">
        <f ca="1">IFERROR(__xludf.DUMMYFUNCTION("""COMPUTED_VALUE"""),"11.08.21 19-46")</f>
        <v>11.08.21 19-46</v>
      </c>
      <c r="N321" t="str">
        <f ca="1">IFERROR(__xludf.DUMMYFUNCTION("""COMPUTED_VALUE"""),"05 ФОРМ")</f>
        <v>05 ФОРМ</v>
      </c>
      <c r="O321">
        <f ca="1">IFERROR(__xludf.DUMMYFUNCTION("""COMPUTED_VALUE"""),38440)</f>
        <v>38440</v>
      </c>
      <c r="P321" t="str">
        <f ca="1">IFERROR(__xludf.DUMMYFUNCTION("""COMPUTED_VALUE"""),"ВИНОГР-ЗАКАР")</f>
        <v>ВИНОГР-ЗАКАР</v>
      </c>
      <c r="Q321">
        <f ca="1">IFERROR(__xludf.DUMMYFUNCTION("""COMPUTED_VALUE"""),40040)</f>
        <v>40040</v>
      </c>
      <c r="R321" t="str">
        <f ca="1">IFERROR(__xludf.DUMMYFUNCTION("""COMPUTED_VALUE"""),"ОДЕС-ПОРТ-Э")</f>
        <v>ОДЕС-ПОРТ-Э</v>
      </c>
      <c r="S321" t="str">
        <f ca="1">IFERROR(__xludf.DUMMYFUNCTION("""COMPUTED_VALUE"""),"10.08.21 09-47")</f>
        <v>10.08.21 09-47</v>
      </c>
      <c r="T321">
        <f ca="1">IFERROR(__xludf.DUMMYFUNCTION("""COMPUTED_VALUE"""),8508)</f>
        <v>8508</v>
      </c>
      <c r="U321" t="str">
        <f ca="1">IFERROR(__xludf.DUMMYFUNCTION("""COMPUTED_VALUE"""),"15.09.2021 ДР")</f>
        <v>15.09.2021 ДР</v>
      </c>
      <c r="AA321" t="str">
        <f ca="1">IFERROR(__xludf.DUMMYFUNCTION("""COMPUTED_VALUE"""),"11-217")</f>
        <v>11-217</v>
      </c>
      <c r="AB321" t="str">
        <f ca="1">IFERROR(__xludf.DUMMYFUNCTION("""COMPUTED_VALUE"""),"40 ОД")</f>
        <v>40 ОД</v>
      </c>
      <c r="AC321" t="str">
        <f ca="1">IFERROR(__xludf.DUMMYFUNCTION("""COMPUTED_VALUE"""),"41000 ЗНАМЕНКА")</f>
        <v>41000 ЗНАМЕНКА</v>
      </c>
      <c r="AD321" t="str">
        <f ca="1">IFERROR(__xludf.DUMMYFUNCTION("""COMPUTED_VALUE"""),"06.10.20 18-05")</f>
        <v>06.10.20 18-05</v>
      </c>
      <c r="AE321" t="str">
        <f ca="1">IFERROR(__xludf.DUMMYFUNCTION("""COMPUTED_VALUE"""),"567")</f>
        <v>567</v>
      </c>
      <c r="AF321" t="str">
        <f ca="1">IFERROR(__xludf.DUMMYFUNCTION("""COMPUTED_VALUE"""),"40 ОД")</f>
        <v>40 ОД</v>
      </c>
      <c r="AG321" t="str">
        <f ca="1">IFERROR(__xludf.DUMMYFUNCTION("""COMPUTED_VALUE"""),"41000 ЗНАМЕНКА")</f>
        <v>41000 ЗНАМЕНКА</v>
      </c>
      <c r="AH321" t="str">
        <f ca="1">IFERROR(__xludf.DUMMYFUNCTION("""COMPUTED_VALUE"""),"07.10.20 15-30")</f>
        <v>07.10.20 15-30</v>
      </c>
      <c r="AI321" s="21">
        <f ca="1">IFERROR(__xludf.DUMMYFUNCTION("""COMPUTED_VALUE"""),44420.3576851851)</f>
        <v>44420.357685185103</v>
      </c>
    </row>
    <row r="322" spans="1:35" ht="13" x14ac:dyDescent="0.15">
      <c r="A322">
        <f ca="1">IFERROR(__xludf.DUMMYFUNCTION("""COMPUTED_VALUE"""),1657)</f>
        <v>1657</v>
      </c>
      <c r="B322" t="str">
        <f ca="1">IFERROR(__xludf.DUMMYFUNCTION("""COMPUTED_VALUE"""),"ВИК")</f>
        <v>ВИК</v>
      </c>
      <c r="C322" t="str">
        <f ca="1">IFERROR(__xludf.DUMMYFUNCTION("""COMPUTED_VALUE"""),"ВИК")</f>
        <v>ВИК</v>
      </c>
      <c r="D322">
        <f ca="1">IFERROR(__xludf.DUMMYFUNCTION("""COMPUTED_VALUE"""),24096885)</f>
        <v>24096885</v>
      </c>
      <c r="E322" t="str">
        <f ca="1">IFERROR(__xludf.DUMMYFUNCTION("""COMPUTED_VALUE"""),"20 КРЫТЫЕ")</f>
        <v>20 КРЫТЫЕ</v>
      </c>
      <c r="F322">
        <f ca="1">IFERROR(__xludf.DUMMYFUNCTION("""COMPUTED_VALUE"""),42103)</f>
        <v>42103</v>
      </c>
      <c r="G322" t="str">
        <f ca="1">IFERROR(__xludf.DUMMYFUNCTION("""COMPUTED_VALUE"""),"ВАГОНЫ ЖД СВ")</f>
        <v>ВАГОНЫ ЖД СВ</v>
      </c>
      <c r="H322">
        <f ca="1">IFERROR(__xludf.DUMMYFUNCTION("""COMPUTED_VALUE"""),0)</f>
        <v>0</v>
      </c>
      <c r="I322">
        <f ca="1">IFERROR(__xludf.DUMMYFUNCTION("""COMPUTED_VALUE"""),4149)</f>
        <v>4149</v>
      </c>
      <c r="J322" t="str">
        <f ca="1">IFERROR(__xludf.DUMMYFUNCTION("""COMPUTED_VALUE"""),"3802 (49640-064-49620)  - ДЕКОНСКАЯ")</f>
        <v>3802 (49640-064-49620)  - ДЕКОНСКАЯ</v>
      </c>
      <c r="K322">
        <f ca="1">IFERROR(__xludf.DUMMYFUNCTION("""COMPUTED_VALUE"""),49620)</f>
        <v>49620</v>
      </c>
      <c r="L322" t="str">
        <f ca="1">IFERROR(__xludf.DUMMYFUNCTION("""COMPUTED_VALUE"""),"ДЕКОНСКАЯ")</f>
        <v>ДЕКОНСКАЯ</v>
      </c>
      <c r="M322" t="str">
        <f ca="1">IFERROR(__xludf.DUMMYFUNCTION("""COMPUTED_VALUE"""),"08.08.21 11-00")</f>
        <v>08.08.21 11-00</v>
      </c>
      <c r="N322" t="str">
        <f ca="1">IFERROR(__xludf.DUMMYFUNCTION("""COMPUTED_VALUE"""),"98 ОТОТ")</f>
        <v>98 ОТОТ</v>
      </c>
      <c r="O322">
        <f ca="1">IFERROR(__xludf.DUMMYFUNCTION("""COMPUTED_VALUE"""),49620)</f>
        <v>49620</v>
      </c>
      <c r="P322" t="str">
        <f ca="1">IFERROR(__xludf.DUMMYFUNCTION("""COMPUTED_VALUE"""),"ДЕКОНСКАЯ")</f>
        <v>ДЕКОНСКАЯ</v>
      </c>
      <c r="Q322">
        <f ca="1">IFERROR(__xludf.DUMMYFUNCTION("""COMPUTED_VALUE"""),38840)</f>
        <v>38840</v>
      </c>
      <c r="R322" t="str">
        <f ca="1">IFERROR(__xludf.DUMMYFUNCTION("""COMPUTED_VALUE"""),"ИВАНО-ФРАНК")</f>
        <v>ИВАНО-ФРАНК</v>
      </c>
      <c r="S322" t="str">
        <f ca="1">IFERROR(__xludf.DUMMYFUNCTION("""COMPUTED_VALUE"""),"28.07.21 16-00")</f>
        <v>28.07.21 16-00</v>
      </c>
      <c r="T322">
        <f ca="1">IFERROR(__xludf.DUMMYFUNCTION("""COMPUTED_VALUE"""),4456)</f>
        <v>4456</v>
      </c>
      <c r="U322" t="str">
        <f ca="1">IFERROR(__xludf.DUMMYFUNCTION("""COMPUTED_VALUE"""),"08.04.2022 ДР")</f>
        <v>08.04.2022 ДР</v>
      </c>
      <c r="AA322" t="str">
        <f ca="1">IFERROR(__xludf.DUMMYFUNCTION("""COMPUTED_VALUE"""),"11-217")</f>
        <v>11-217</v>
      </c>
      <c r="AB322" t="str">
        <f ca="1">IFERROR(__xludf.DUMMYFUNCTION("""COMPUTED_VALUE"""),"40 ОД")</f>
        <v>40 ОД</v>
      </c>
      <c r="AC322" t="str">
        <f ca="1">IFERROR(__xludf.DUMMYFUNCTION("""COMPUTED_VALUE"""),"41190 ПОМОШНАЯ")</f>
        <v>41190 ПОМОШНАЯ</v>
      </c>
      <c r="AD322" t="str">
        <f ca="1">IFERROR(__xludf.DUMMYFUNCTION("""COMPUTED_VALUE"""),"27.03.21 08-30")</f>
        <v>27.03.21 08-30</v>
      </c>
      <c r="AE322" t="str">
        <f ca="1">IFERROR(__xludf.DUMMYFUNCTION("""COMPUTED_VALUE"""),"570 ИCТEК КAЛЕНДАРНЫЙ CPOК ДEПOВCКОГО PEМOНТA")</f>
        <v>570 ИCТEК КAЛЕНДАРНЫЙ CPOК ДEПOВCКОГО PEМOНТA</v>
      </c>
      <c r="AF322" t="str">
        <f ca="1">IFERROR(__xludf.DUMMYFUNCTION("""COMPUTED_VALUE"""),"40 ОД")</f>
        <v>40 ОД</v>
      </c>
      <c r="AG322" t="str">
        <f ca="1">IFERROR(__xludf.DUMMYFUNCTION("""COMPUTED_VALUE"""),"41190 ПОМОШНАЯ")</f>
        <v>41190 ПОМОШНАЯ</v>
      </c>
      <c r="AH322" t="str">
        <f ca="1">IFERROR(__xludf.DUMMYFUNCTION("""COMPUTED_VALUE"""),"08.04.21 15-25")</f>
        <v>08.04.21 15-25</v>
      </c>
      <c r="AI322" s="21">
        <f ca="1">IFERROR(__xludf.DUMMYFUNCTION("""COMPUTED_VALUE"""),44420.3576851851)</f>
        <v>44420.357685185103</v>
      </c>
    </row>
    <row r="323" spans="1:35" ht="13" x14ac:dyDescent="0.15">
      <c r="A323">
        <f ca="1">IFERROR(__xludf.DUMMYFUNCTION("""COMPUTED_VALUE"""),1658)</f>
        <v>1658</v>
      </c>
      <c r="B323" t="str">
        <f ca="1">IFERROR(__xludf.DUMMYFUNCTION("""COMPUTED_VALUE"""),"ВИК")</f>
        <v>ВИК</v>
      </c>
      <c r="C323" t="str">
        <f ca="1">IFERROR(__xludf.DUMMYFUNCTION("""COMPUTED_VALUE"""),"ВИК")</f>
        <v>ВИК</v>
      </c>
      <c r="D323">
        <f ca="1">IFERROR(__xludf.DUMMYFUNCTION("""COMPUTED_VALUE"""),24096901)</f>
        <v>24096901</v>
      </c>
      <c r="E323" t="str">
        <f ca="1">IFERROR(__xludf.DUMMYFUNCTION("""COMPUTED_VALUE"""),"20 КРЫТЫЕ")</f>
        <v>20 КРЫТЫЕ</v>
      </c>
      <c r="F323">
        <f ca="1">IFERROR(__xludf.DUMMYFUNCTION("""COMPUTED_VALUE"""),23304)</f>
        <v>23304</v>
      </c>
      <c r="G323" t="str">
        <f ca="1">IFERROR(__xludf.DUMMYFUNCTION("""COMPUTED_VALUE"""),"ГИПС ПР")</f>
        <v>ГИПС ПР</v>
      </c>
      <c r="H323">
        <f ca="1">IFERROR(__xludf.DUMMYFUNCTION("""COMPUTED_VALUE"""),68)</f>
        <v>68</v>
      </c>
      <c r="I323">
        <f ca="1">IFERROR(__xludf.DUMMYFUNCTION("""COMPUTED_VALUE"""),3314)</f>
        <v>3314</v>
      </c>
      <c r="J323" t="str">
        <f ca="1">IFERROR(__xludf.DUMMYFUNCTION("""COMPUTED_VALUE"""),"2723 (44020-120-32000) ОСНОВА - ДАРНИЦА")</f>
        <v>2723 (44020-120-32000) ОСНОВА - ДАРНИЦА</v>
      </c>
      <c r="K323">
        <f ca="1">IFERROR(__xludf.DUMMYFUNCTION("""COMPUTED_VALUE"""),32000)</f>
        <v>32000</v>
      </c>
      <c r="L323" t="str">
        <f ca="1">IFERROR(__xludf.DUMMYFUNCTION("""COMPUTED_VALUE"""),"ДАРНИЦА")</f>
        <v>ДАРНИЦА</v>
      </c>
      <c r="M323" t="str">
        <f ca="1">IFERROR(__xludf.DUMMYFUNCTION("""COMPUTED_VALUE"""),"12.08.21 05-01")</f>
        <v>12.08.21 05-01</v>
      </c>
      <c r="N323" t="str">
        <f ca="1">IFERROR(__xludf.DUMMYFUNCTION("""COMPUTED_VALUE"""),"04 РАСФ")</f>
        <v>04 РАСФ</v>
      </c>
      <c r="O323">
        <f ca="1">IFERROR(__xludf.DUMMYFUNCTION("""COMPUTED_VALUE"""),32040)</f>
        <v>32040</v>
      </c>
      <c r="P323" t="str">
        <f ca="1">IFERROR(__xludf.DUMMYFUNCTION("""COMPUTED_VALUE"""),"ГРУШКИ")</f>
        <v>ГРУШКИ</v>
      </c>
      <c r="Q323">
        <f ca="1">IFERROR(__xludf.DUMMYFUNCTION("""COMPUTED_VALUE"""),49620)</f>
        <v>49620</v>
      </c>
      <c r="R323" t="str">
        <f ca="1">IFERROR(__xludf.DUMMYFUNCTION("""COMPUTED_VALUE"""),"ДЕКОНСКАЯ")</f>
        <v>ДЕКОНСКАЯ</v>
      </c>
      <c r="S323" t="str">
        <f ca="1">IFERROR(__xludf.DUMMYFUNCTION("""COMPUTED_VALUE"""),"08.08.21 00-05")</f>
        <v>08.08.21 00-05</v>
      </c>
      <c r="T323">
        <f ca="1">IFERROR(__xludf.DUMMYFUNCTION("""COMPUTED_VALUE"""),4149)</f>
        <v>4149</v>
      </c>
      <c r="U323" t="str">
        <f ca="1">IFERROR(__xludf.DUMMYFUNCTION("""COMPUTED_VALUE"""),"06.05.2022 ДР")</f>
        <v>06.05.2022 ДР</v>
      </c>
      <c r="AA323" t="str">
        <f ca="1">IFERROR(__xludf.DUMMYFUNCTION("""COMPUTED_VALUE"""),"11-217")</f>
        <v>11-217</v>
      </c>
      <c r="AB323" t="str">
        <f ca="1">IFERROR(__xludf.DUMMYFUNCTION("""COMPUTED_VALUE"""),"40 ОД")</f>
        <v>40 ОД</v>
      </c>
      <c r="AC323" t="str">
        <f ca="1">IFERROR(__xludf.DUMMYFUNCTION("""COMPUTED_VALUE"""),"42000 ИМ.Т.ШЕВЧЕНК")</f>
        <v>42000 ИМ.Т.ШЕВЧЕНК</v>
      </c>
      <c r="AD323" t="str">
        <f ca="1">IFERROR(__xludf.DUMMYFUNCTION("""COMPUTED_VALUE"""),"02.05.19 07-50")</f>
        <v>02.05.19 07-50</v>
      </c>
      <c r="AE323" t="str">
        <f ca="1">IFERROR(__xludf.DUMMYFUNCTION("""COMPUTED_VALUE"""),"571 ИCТEК КAЛЕНДАРНЫЙ CPOК КAПИТAЛЬНОГО PEМOНТA")</f>
        <v>571 ИCТEК КAЛЕНДАРНЫЙ CPOК КAПИТAЛЬНОГО PEМOНТA</v>
      </c>
      <c r="AF323" t="str">
        <f ca="1">IFERROR(__xludf.DUMMYFUNCTION("""COMPUTED_VALUE"""),"40 ОД")</f>
        <v>40 ОД</v>
      </c>
      <c r="AG323" t="str">
        <f ca="1">IFERROR(__xludf.DUMMYFUNCTION("""COMPUTED_VALUE"""),"42000 ИМ.Т.ШЕВЧЕНК")</f>
        <v>42000 ИМ.Т.ШЕВЧЕНК</v>
      </c>
      <c r="AH323" t="str">
        <f ca="1">IFERROR(__xludf.DUMMYFUNCTION("""COMPUTED_VALUE"""),"06.05.19 13-00")</f>
        <v>06.05.19 13-00</v>
      </c>
      <c r="AI323" s="21">
        <f ca="1">IFERROR(__xludf.DUMMYFUNCTION("""COMPUTED_VALUE"""),44420.3583449074)</f>
        <v>44420.358344907399</v>
      </c>
    </row>
    <row r="324" spans="1:35" ht="13" x14ac:dyDescent="0.15">
      <c r="A324">
        <f ca="1">IFERROR(__xludf.DUMMYFUNCTION("""COMPUTED_VALUE"""),1659)</f>
        <v>1659</v>
      </c>
      <c r="B324" t="str">
        <f ca="1">IFERROR(__xludf.DUMMYFUNCTION("""COMPUTED_VALUE"""),"ВИК")</f>
        <v>ВИК</v>
      </c>
      <c r="C324" t="str">
        <f ca="1">IFERROR(__xludf.DUMMYFUNCTION("""COMPUTED_VALUE"""),"ВИК")</f>
        <v>ВИК</v>
      </c>
      <c r="D324">
        <f ca="1">IFERROR(__xludf.DUMMYFUNCTION("""COMPUTED_VALUE"""),24096927)</f>
        <v>24096927</v>
      </c>
      <c r="E324" t="str">
        <f ca="1">IFERROR(__xludf.DUMMYFUNCTION("""COMPUTED_VALUE"""),"20 КРЫТЫЕ")</f>
        <v>20 КРЫТЫЕ</v>
      </c>
      <c r="F324">
        <f ca="1">IFERROR(__xludf.DUMMYFUNCTION("""COMPUTED_VALUE"""),42103)</f>
        <v>42103</v>
      </c>
      <c r="G324" t="str">
        <f ca="1">IFERROR(__xludf.DUMMYFUNCTION("""COMPUTED_VALUE"""),"ВАГОНЫ ЖД СВ")</f>
        <v>ВАГОНЫ ЖД СВ</v>
      </c>
      <c r="H324">
        <f ca="1">IFERROR(__xludf.DUMMYFUNCTION("""COMPUTED_VALUE"""),0)</f>
        <v>0</v>
      </c>
      <c r="I324">
        <f ca="1">IFERROR(__xludf.DUMMYFUNCTION("""COMPUTED_VALUE"""),4026)</f>
        <v>4026</v>
      </c>
      <c r="J324" t="str">
        <f ca="1">IFERROR(__xludf.DUMMYFUNCTION("""COMPUTED_VALUE"""),"3504 (48620-047-48630) ВОЛНОВАХА - ВЕЛИКО-АНАД")</f>
        <v>3504 (48620-047-48630) ВОЛНОВАХА - ВЕЛИКО-АНАД</v>
      </c>
      <c r="K324">
        <f ca="1">IFERROR(__xludf.DUMMYFUNCTION("""COMPUTED_VALUE"""),48630)</f>
        <v>48630</v>
      </c>
      <c r="L324" t="str">
        <f ca="1">IFERROR(__xludf.DUMMYFUNCTION("""COMPUTED_VALUE"""),"ВЕЛИКО-АНАД")</f>
        <v>ВЕЛИКО-АНАД</v>
      </c>
      <c r="M324" t="str">
        <f ca="1">IFERROR(__xludf.DUMMYFUNCTION("""COMPUTED_VALUE"""),"09.08.21 01-20")</f>
        <v>09.08.21 01-20</v>
      </c>
      <c r="N324" t="str">
        <f ca="1">IFERROR(__xludf.DUMMYFUNCTION("""COMPUTED_VALUE"""),"98 ОТОТ")</f>
        <v>98 ОТОТ</v>
      </c>
      <c r="O324">
        <f ca="1">IFERROR(__xludf.DUMMYFUNCTION("""COMPUTED_VALUE"""),48630)</f>
        <v>48630</v>
      </c>
      <c r="P324" t="str">
        <f ca="1">IFERROR(__xludf.DUMMYFUNCTION("""COMPUTED_VALUE"""),"ВЕЛИКО-АНАД")</f>
        <v>ВЕЛИКО-АНАД</v>
      </c>
      <c r="Q324">
        <f ca="1">IFERROR(__xludf.DUMMYFUNCTION("""COMPUTED_VALUE"""),32040)</f>
        <v>32040</v>
      </c>
      <c r="R324" t="str">
        <f ca="1">IFERROR(__xludf.DUMMYFUNCTION("""COMPUTED_VALUE"""),"ГРУШКИ")</f>
        <v>ГРУШКИ</v>
      </c>
      <c r="S324" t="str">
        <f ca="1">IFERROR(__xludf.DUMMYFUNCTION("""COMPUTED_VALUE"""),"25.07.21 15-40")</f>
        <v>25.07.21 15-40</v>
      </c>
      <c r="T324">
        <f ca="1">IFERROR(__xludf.DUMMYFUNCTION("""COMPUTED_VALUE"""),4456)</f>
        <v>4456</v>
      </c>
      <c r="U324" t="str">
        <f ca="1">IFERROR(__xludf.DUMMYFUNCTION("""COMPUTED_VALUE"""),"26.09.2021 ДР")</f>
        <v>26.09.2021 ДР</v>
      </c>
      <c r="AA324" t="str">
        <f ca="1">IFERROR(__xludf.DUMMYFUNCTION("""COMPUTED_VALUE"""),"11-217")</f>
        <v>11-217</v>
      </c>
      <c r="AB324" t="str">
        <f ca="1">IFERROR(__xludf.DUMMYFUNCTION("""COMPUTED_VALUE"""),"40 ОД")</f>
        <v>40 ОД</v>
      </c>
      <c r="AC324" t="str">
        <f ca="1">IFERROR(__xludf.DUMMYFUNCTION("""COMPUTED_VALUE"""),"41190 ПОМОШНАЯ")</f>
        <v>41190 ПОМОШНАЯ</v>
      </c>
      <c r="AD324" t="str">
        <f ca="1">IFERROR(__xludf.DUMMYFUNCTION("""COMPUTED_VALUE"""),"22.09.20 08-00")</f>
        <v>22.09.20 08-00</v>
      </c>
      <c r="AE324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324" t="str">
        <f ca="1">IFERROR(__xludf.DUMMYFUNCTION("""COMPUTED_VALUE"""),"40 ОД")</f>
        <v>40 ОД</v>
      </c>
      <c r="AG324" t="str">
        <f ca="1">IFERROR(__xludf.DUMMYFUNCTION("""COMPUTED_VALUE"""),"41190 ПОМОШНАЯ")</f>
        <v>41190 ПОМОШНАЯ</v>
      </c>
      <c r="AH324" t="str">
        <f ca="1">IFERROR(__xludf.DUMMYFUNCTION("""COMPUTED_VALUE"""),"26.09.20 17-30")</f>
        <v>26.09.20 17-30</v>
      </c>
      <c r="AI324" s="21">
        <f ca="1">IFERROR(__xludf.DUMMYFUNCTION("""COMPUTED_VALUE"""),44420.3583449074)</f>
        <v>44420.358344907399</v>
      </c>
    </row>
    <row r="325" spans="1:35" ht="13" x14ac:dyDescent="0.15">
      <c r="A325">
        <f ca="1">IFERROR(__xludf.DUMMYFUNCTION("""COMPUTED_VALUE"""),1660)</f>
        <v>1660</v>
      </c>
      <c r="B325" t="str">
        <f ca="1">IFERROR(__xludf.DUMMYFUNCTION("""COMPUTED_VALUE"""),"ВИК")</f>
        <v>ВИК</v>
      </c>
      <c r="C325" t="str">
        <f ca="1">IFERROR(__xludf.DUMMYFUNCTION("""COMPUTED_VALUE"""),"ВИК")</f>
        <v>ВИК</v>
      </c>
      <c r="D325">
        <f ca="1">IFERROR(__xludf.DUMMYFUNCTION("""COMPUTED_VALUE"""),24096935)</f>
        <v>24096935</v>
      </c>
      <c r="E325" t="str">
        <f ca="1">IFERROR(__xludf.DUMMYFUNCTION("""COMPUTED_VALUE"""),"20 КРЫТЫЕ")</f>
        <v>20 КРЫТЫЕ</v>
      </c>
      <c r="F325">
        <f ca="1">IFERROR(__xludf.DUMMYFUNCTION("""COMPUTED_VALUE"""),23304)</f>
        <v>23304</v>
      </c>
      <c r="G325" t="str">
        <f ca="1">IFERROR(__xludf.DUMMYFUNCTION("""COMPUTED_VALUE"""),"ГИПС ПР")</f>
        <v>ГИПС ПР</v>
      </c>
      <c r="H325">
        <f ca="1">IFERROR(__xludf.DUMMYFUNCTION("""COMPUTED_VALUE"""),68)</f>
        <v>68</v>
      </c>
      <c r="I325">
        <f ca="1">IFERROR(__xludf.DUMMYFUNCTION("""COMPUTED_VALUE"""),3802)</f>
        <v>3802</v>
      </c>
      <c r="J325" t="str">
        <f ca="1">IFERROR(__xludf.DUMMYFUNCTION("""COMPUTED_VALUE"""),"3748 (40030-079-40000) ОДЕССА-ПОРТ - ОДЕССА-СОРТ")</f>
        <v>3748 (40030-079-40000) ОДЕССА-ПОРТ - ОДЕССА-СОРТ</v>
      </c>
      <c r="K325">
        <f ca="1">IFERROR(__xludf.DUMMYFUNCTION("""COMPUTED_VALUE"""),40000)</f>
        <v>40000</v>
      </c>
      <c r="L325" t="str">
        <f ca="1">IFERROR(__xludf.DUMMYFUNCTION("""COMPUTED_VALUE"""),"ОДЕССА-СОРТ")</f>
        <v>ОДЕССА-СОРТ</v>
      </c>
      <c r="M325" t="str">
        <f ca="1">IFERROR(__xludf.DUMMYFUNCTION("""COMPUTED_VALUE"""),"11.08.21 21-39")</f>
        <v>11.08.21 21-39</v>
      </c>
      <c r="N325" t="str">
        <f ca="1">IFERROR(__xludf.DUMMYFUNCTION("""COMPUTED_VALUE"""),"72 ОТЦ")</f>
        <v>72 ОТЦ</v>
      </c>
      <c r="O325">
        <f ca="1">IFERROR(__xludf.DUMMYFUNCTION("""COMPUTED_VALUE"""),38440)</f>
        <v>38440</v>
      </c>
      <c r="P325" t="str">
        <f ca="1">IFERROR(__xludf.DUMMYFUNCTION("""COMPUTED_VALUE"""),"ВИНОГР-ЗАКАР")</f>
        <v>ВИНОГР-ЗАКАР</v>
      </c>
      <c r="Q325">
        <f ca="1">IFERROR(__xludf.DUMMYFUNCTION("""COMPUTED_VALUE"""),40040)</f>
        <v>40040</v>
      </c>
      <c r="R325" t="str">
        <f ca="1">IFERROR(__xludf.DUMMYFUNCTION("""COMPUTED_VALUE"""),"ОДЕС-ПОРТ-Э")</f>
        <v>ОДЕС-ПОРТ-Э</v>
      </c>
      <c r="S325" t="str">
        <f ca="1">IFERROR(__xludf.DUMMYFUNCTION("""COMPUTED_VALUE"""),"10.08.21 18-34")</f>
        <v>10.08.21 18-34</v>
      </c>
      <c r="T325">
        <f ca="1">IFERROR(__xludf.DUMMYFUNCTION("""COMPUTED_VALUE"""),8508)</f>
        <v>8508</v>
      </c>
      <c r="U325" t="str">
        <f ca="1">IFERROR(__xludf.DUMMYFUNCTION("""COMPUTED_VALUE"""),"18.09.2022 ДР")</f>
        <v>18.09.2022 ДР</v>
      </c>
      <c r="AA325" t="str">
        <f ca="1">IFERROR(__xludf.DUMMYFUNCTION("""COMPUTED_VALUE"""),"11-217")</f>
        <v>11-217</v>
      </c>
      <c r="AB325" t="str">
        <f ca="1">IFERROR(__xludf.DUMMYFUNCTION("""COMPUTED_VALUE"""),"40 ОД")</f>
        <v>40 ОД</v>
      </c>
      <c r="AC325" t="str">
        <f ca="1">IFERROR(__xludf.DUMMYFUNCTION("""COMPUTED_VALUE"""),"41190 ПОМОШНАЯ")</f>
        <v>41190 ПОМОШНАЯ</v>
      </c>
      <c r="AD325" t="str">
        <f ca="1">IFERROR(__xludf.DUMMYFUNCTION("""COMPUTED_VALUE"""),"08.09.20 15-00")</f>
        <v>08.09.20 15-00</v>
      </c>
      <c r="AE325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25" t="str">
        <f ca="1">IFERROR(__xludf.DUMMYFUNCTION("""COMPUTED_VALUE"""),"40 ОД")</f>
        <v>40 ОД</v>
      </c>
      <c r="AG325" t="str">
        <f ca="1">IFERROR(__xludf.DUMMYFUNCTION("""COMPUTED_VALUE"""),"41190 ПОМОШНАЯ")</f>
        <v>41190 ПОМОШНАЯ</v>
      </c>
      <c r="AH325" t="str">
        <f ca="1">IFERROR(__xludf.DUMMYFUNCTION("""COMPUTED_VALUE"""),"18.09.20 17-30")</f>
        <v>18.09.20 17-30</v>
      </c>
      <c r="AI325" s="21">
        <f ca="1">IFERROR(__xludf.DUMMYFUNCTION("""COMPUTED_VALUE"""),44420.3583449074)</f>
        <v>44420.358344907399</v>
      </c>
    </row>
    <row r="326" spans="1:35" ht="13" x14ac:dyDescent="0.15">
      <c r="A326">
        <f ca="1">IFERROR(__xludf.DUMMYFUNCTION("""COMPUTED_VALUE"""),1661)</f>
        <v>1661</v>
      </c>
      <c r="B326" t="str">
        <f ca="1">IFERROR(__xludf.DUMMYFUNCTION("""COMPUTED_VALUE"""),"ВИК")</f>
        <v>ВИК</v>
      </c>
      <c r="C326" t="str">
        <f ca="1">IFERROR(__xludf.DUMMYFUNCTION("""COMPUTED_VALUE"""),"ВИК")</f>
        <v>ВИК</v>
      </c>
      <c r="D326">
        <f ca="1">IFERROR(__xludf.DUMMYFUNCTION("""COMPUTED_VALUE"""),24097628)</f>
        <v>24097628</v>
      </c>
      <c r="E326" t="str">
        <f ca="1">IFERROR(__xludf.DUMMYFUNCTION("""COMPUTED_VALUE"""),"20 КРЫТЫЕ")</f>
        <v>20 КРЫТЫЕ</v>
      </c>
      <c r="F326">
        <f ca="1">IFERROR(__xludf.DUMMYFUNCTION("""COMPUTED_VALUE"""),43619)</f>
        <v>43619</v>
      </c>
      <c r="G326" t="str">
        <f ca="1">IFERROR(__xludf.DUMMYFUNCTION("""COMPUTED_VALUE"""),"УДОБР ХИМ ПР")</f>
        <v>УДОБР ХИМ ПР</v>
      </c>
      <c r="H326">
        <f ca="1">IFERROR(__xludf.DUMMYFUNCTION("""COMPUTED_VALUE"""),66)</f>
        <v>66</v>
      </c>
      <c r="I326">
        <f ca="1">IFERROR(__xludf.DUMMYFUNCTION("""COMPUTED_VALUE"""),5539)</f>
        <v>5539</v>
      </c>
      <c r="J326" t="str">
        <f ca="1">IFERROR(__xludf.DUMMYFUNCTION("""COMPUTED_VALUE"""),"3603 (35400-082-35310) КОВЕЛЬ - ИВАНИЧИ")</f>
        <v>3603 (35400-082-35310) КОВЕЛЬ - ИВАНИЧИ</v>
      </c>
      <c r="K326">
        <f ca="1">IFERROR(__xludf.DUMMYFUNCTION("""COMPUTED_VALUE"""),35400)</f>
        <v>35400</v>
      </c>
      <c r="L326" t="str">
        <f ca="1">IFERROR(__xludf.DUMMYFUNCTION("""COMPUTED_VALUE"""),"КОВЕЛЬ")</f>
        <v>КОВЕЛЬ</v>
      </c>
      <c r="M326" t="str">
        <f ca="1">IFERROR(__xludf.DUMMYFUNCTION("""COMPUTED_VALUE"""),"11.08.21 17-28")</f>
        <v>11.08.21 17-28</v>
      </c>
      <c r="N326" t="str">
        <f ca="1">IFERROR(__xludf.DUMMYFUNCTION("""COMPUTED_VALUE"""),"85 ПРСТ")</f>
        <v>85 ПРСТ</v>
      </c>
      <c r="O326">
        <f ca="1">IFERROR(__xludf.DUMMYFUNCTION("""COMPUTED_VALUE"""),37170)</f>
        <v>37170</v>
      </c>
      <c r="P326" t="str">
        <f ca="1">IFERROR(__xludf.DUMMYFUNCTION("""COMPUTED_VALUE"""),"РАДЕХОВ")</f>
        <v>РАДЕХОВ</v>
      </c>
      <c r="Q326">
        <f ca="1">IFERROR(__xludf.DUMMYFUNCTION("""COMPUTED_VALUE"""),35260)</f>
        <v>35260</v>
      </c>
      <c r="R326" t="str">
        <f ca="1">IFERROR(__xludf.DUMMYFUNCTION("""COMPUTED_VALUE"""),"ИЗОВ-Э-ПКП")</f>
        <v>ИЗОВ-Э-ПКП</v>
      </c>
      <c r="S326" t="str">
        <f ca="1">IFERROR(__xludf.DUMMYFUNCTION("""COMPUTED_VALUE"""),"10.08.21 16-15")</f>
        <v>10.08.21 16-15</v>
      </c>
      <c r="U326" t="str">
        <f ca="1">IFERROR(__xludf.DUMMYFUNCTION("""COMPUTED_VALUE"""),"08.06.2022 ДР")</f>
        <v>08.06.2022 ДР</v>
      </c>
      <c r="AA326" t="str">
        <f ca="1">IFERROR(__xludf.DUMMYFUNCTION("""COMPUTED_VALUE"""),"11-217")</f>
        <v>11-217</v>
      </c>
      <c r="AB326" t="str">
        <f ca="1">IFERROR(__xludf.DUMMYFUNCTION("""COMPUTED_VALUE"""),"40 ОД")</f>
        <v>40 ОД</v>
      </c>
      <c r="AC326" t="str">
        <f ca="1">IFERROR(__xludf.DUMMYFUNCTION("""COMPUTED_VALUE"""),"41190 ПОМОШНАЯ")</f>
        <v>41190 ПОМОШНАЯ</v>
      </c>
      <c r="AD326" t="str">
        <f ca="1">IFERROR(__xludf.DUMMYFUNCTION("""COMPUTED_VALUE"""),"14.03.21 08-00")</f>
        <v>14.03.21 08-00</v>
      </c>
      <c r="AE326" t="str">
        <f ca="1">IFERROR(__xludf.DUMMYFUNCTION("""COMPUTED_VALUE"""),"570 ИCТEК КAЛЕНДАРНЫЙ CPOК ДEПOВCКОГО PEМOНТA")</f>
        <v>570 ИCТEК КAЛЕНДАРНЫЙ CPOК ДEПOВCКОГО PEМOНТA</v>
      </c>
      <c r="AF326" t="str">
        <f ca="1">IFERROR(__xludf.DUMMYFUNCTION("""COMPUTED_VALUE"""),"40 ОД")</f>
        <v>40 ОД</v>
      </c>
      <c r="AG326" t="str">
        <f ca="1">IFERROR(__xludf.DUMMYFUNCTION("""COMPUTED_VALUE"""),"41190 ПОМОШНАЯ")</f>
        <v>41190 ПОМОШНАЯ</v>
      </c>
      <c r="AH326" t="str">
        <f ca="1">IFERROR(__xludf.DUMMYFUNCTION("""COMPUTED_VALUE"""),"08.06.21 16-35")</f>
        <v>08.06.21 16-35</v>
      </c>
      <c r="AI326" s="21">
        <f ca="1">IFERROR(__xludf.DUMMYFUNCTION("""COMPUTED_VALUE"""),44420.3583449074)</f>
        <v>44420.358344907399</v>
      </c>
    </row>
    <row r="327" spans="1:35" ht="13" x14ac:dyDescent="0.15">
      <c r="A327">
        <f ca="1">IFERROR(__xludf.DUMMYFUNCTION("""COMPUTED_VALUE"""),1662)</f>
        <v>1662</v>
      </c>
      <c r="B327" t="str">
        <f ca="1">IFERROR(__xludf.DUMMYFUNCTION("""COMPUTED_VALUE"""),"ВИК")</f>
        <v>ВИК</v>
      </c>
      <c r="C327" t="str">
        <f ca="1">IFERROR(__xludf.DUMMYFUNCTION("""COMPUTED_VALUE"""),"ВИК")</f>
        <v>ВИК</v>
      </c>
      <c r="D327">
        <f ca="1">IFERROR(__xludf.DUMMYFUNCTION("""COMPUTED_VALUE"""),24097651)</f>
        <v>24097651</v>
      </c>
      <c r="E327" t="str">
        <f ca="1">IFERROR(__xludf.DUMMYFUNCTION("""COMPUTED_VALUE"""),"20 КРЫТЫЕ")</f>
        <v>20 КРЫТЫЕ</v>
      </c>
      <c r="F327">
        <f ca="1">IFERROR(__xludf.DUMMYFUNCTION("""COMPUTED_VALUE"""),42103)</f>
        <v>42103</v>
      </c>
      <c r="G327" t="str">
        <f ca="1">IFERROR(__xludf.DUMMYFUNCTION("""COMPUTED_VALUE"""),"ВАГОНЫ ЖД СВ")</f>
        <v>ВАГОНЫ ЖД СВ</v>
      </c>
      <c r="H327">
        <f ca="1">IFERROR(__xludf.DUMMYFUNCTION("""COMPUTED_VALUE"""),0)</f>
        <v>0</v>
      </c>
      <c r="I327">
        <f ca="1">IFERROR(__xludf.DUMMYFUNCTION("""COMPUTED_VALUE"""),4149)</f>
        <v>4149</v>
      </c>
      <c r="J327" t="str">
        <f ca="1">IFERROR(__xludf.DUMMYFUNCTION("""COMPUTED_VALUE"""),"2831 (44020-300-49000) ОСНОВА - ЛИМАН")</f>
        <v>2831 (44020-300-49000) ОСНОВА - ЛИМАН</v>
      </c>
      <c r="K327">
        <f ca="1">IFERROR(__xludf.DUMMYFUNCTION("""COMPUTED_VALUE"""),49005)</f>
        <v>49005</v>
      </c>
      <c r="L327" t="str">
        <f ca="1">IFERROR(__xludf.DUMMYFUNCTION("""COMPUTED_VALUE"""),"ФОРПОСТНАЯ")</f>
        <v>ФОРПОСТНАЯ</v>
      </c>
      <c r="M327" t="str">
        <f ca="1">IFERROR(__xludf.DUMMYFUNCTION("""COMPUTED_VALUE"""),"12.08.21 08-19")</f>
        <v>12.08.21 08-19</v>
      </c>
      <c r="N327" t="str">
        <f ca="1">IFERROR(__xludf.DUMMYFUNCTION("""COMPUTED_VALUE"""),"03 ПРОС")</f>
        <v>03 ПРОС</v>
      </c>
      <c r="O327">
        <f ca="1">IFERROR(__xludf.DUMMYFUNCTION("""COMPUTED_VALUE"""),49620)</f>
        <v>49620</v>
      </c>
      <c r="P327" t="str">
        <f ca="1">IFERROR(__xludf.DUMMYFUNCTION("""COMPUTED_VALUE"""),"ДЕКОНСКАЯ")</f>
        <v>ДЕКОНСКАЯ</v>
      </c>
      <c r="Q327">
        <f ca="1">IFERROR(__xludf.DUMMYFUNCTION("""COMPUTED_VALUE"""),32040)</f>
        <v>32040</v>
      </c>
      <c r="R327" t="str">
        <f ca="1">IFERROR(__xludf.DUMMYFUNCTION("""COMPUTED_VALUE"""),"ГРУШКИ")</f>
        <v>ГРУШКИ</v>
      </c>
      <c r="S327" t="str">
        <f ca="1">IFERROR(__xludf.DUMMYFUNCTION("""COMPUTED_VALUE"""),"06.08.21 08-00")</f>
        <v>06.08.21 08-00</v>
      </c>
      <c r="T327">
        <f ca="1">IFERROR(__xludf.DUMMYFUNCTION("""COMPUTED_VALUE"""),4456)</f>
        <v>4456</v>
      </c>
      <c r="U327" t="str">
        <f ca="1">IFERROR(__xludf.DUMMYFUNCTION("""COMPUTED_VALUE"""),"22.09.2021 ДР")</f>
        <v>22.09.2021 ДР</v>
      </c>
      <c r="AA327" t="str">
        <f ca="1">IFERROR(__xludf.DUMMYFUNCTION("""COMPUTED_VALUE"""),"11-217")</f>
        <v>11-217</v>
      </c>
      <c r="AB327" t="str">
        <f ca="1">IFERROR(__xludf.DUMMYFUNCTION("""COMPUTED_VALUE"""),"40 ОД")</f>
        <v>40 ОД</v>
      </c>
      <c r="AC327" t="str">
        <f ca="1">IFERROR(__xludf.DUMMYFUNCTION("""COMPUTED_VALUE"""),"41190 ПОМОШНАЯ")</f>
        <v>41190 ПОМОШНАЯ</v>
      </c>
      <c r="AD327" t="str">
        <f ca="1">IFERROR(__xludf.DUMMYFUNCTION("""COMPUTED_VALUE"""),"21.03.21 07-30")</f>
        <v>21.03.21 07-30</v>
      </c>
      <c r="AE327" t="str">
        <f ca="1">IFERROR(__xludf.DUMMYFUNCTION("""COMPUTED_VALUE"""),"102 ТOНКИЙ ГPEБEНЬ")</f>
        <v>102 ТOНКИЙ ГPEБEНЬ</v>
      </c>
      <c r="AF327" t="str">
        <f ca="1">IFERROR(__xludf.DUMMYFUNCTION("""COMPUTED_VALUE"""),"40 ОД")</f>
        <v>40 ОД</v>
      </c>
      <c r="AG327" t="str">
        <f ca="1">IFERROR(__xludf.DUMMYFUNCTION("""COMPUTED_VALUE"""),"41190 ПОМОШНАЯ")</f>
        <v>41190 ПОМОШНАЯ</v>
      </c>
      <c r="AH327" t="str">
        <f ca="1">IFERROR(__xludf.DUMMYFUNCTION("""COMPUTED_VALUE"""),"21.03.21 18-05")</f>
        <v>21.03.21 18-05</v>
      </c>
      <c r="AI327" s="21">
        <f ca="1">IFERROR(__xludf.DUMMYFUNCTION("""COMPUTED_VALUE"""),44420.3583449074)</f>
        <v>44420.358344907399</v>
      </c>
    </row>
    <row r="328" spans="1:35" ht="13" x14ac:dyDescent="0.15">
      <c r="A328">
        <f ca="1">IFERROR(__xludf.DUMMYFUNCTION("""COMPUTED_VALUE"""),1663)</f>
        <v>1663</v>
      </c>
      <c r="B328" t="str">
        <f ca="1">IFERROR(__xludf.DUMMYFUNCTION("""COMPUTED_VALUE"""),"ВИК")</f>
        <v>ВИК</v>
      </c>
      <c r="C328" t="str">
        <f ca="1">IFERROR(__xludf.DUMMYFUNCTION("""COMPUTED_VALUE"""),"ВИК")</f>
        <v>ВИК</v>
      </c>
      <c r="D328">
        <f ca="1">IFERROR(__xludf.DUMMYFUNCTION("""COMPUTED_VALUE"""),24097743)</f>
        <v>24097743</v>
      </c>
      <c r="E328" t="str">
        <f ca="1">IFERROR(__xludf.DUMMYFUNCTION("""COMPUTED_VALUE"""),"20 КРЫТЫЕ")</f>
        <v>20 КРЫТЫЕ</v>
      </c>
      <c r="F328">
        <f ca="1">IFERROR(__xludf.DUMMYFUNCTION("""COMPUTED_VALUE"""),42103)</f>
        <v>42103</v>
      </c>
      <c r="G328" t="str">
        <f ca="1">IFERROR(__xludf.DUMMYFUNCTION("""COMPUTED_VALUE"""),"ВАГОНЫ ЖД СВ")</f>
        <v>ВАГОНЫ ЖД СВ</v>
      </c>
      <c r="H328">
        <f ca="1">IFERROR(__xludf.DUMMYFUNCTION("""COMPUTED_VALUE"""),64)</f>
        <v>64</v>
      </c>
      <c r="I328">
        <f ca="1">IFERROR(__xludf.DUMMYFUNCTION("""COMPUTED_VALUE"""),4149)</f>
        <v>4149</v>
      </c>
      <c r="J328" t="str">
        <f ca="1">IFERROR(__xludf.DUMMYFUNCTION("""COMPUTED_VALUE"""),"3505 (49000-791-49460) ЛИМАН - БАХМУТ")</f>
        <v>3505 (49000-791-49460) ЛИМАН - БАХМУТ</v>
      </c>
      <c r="K328">
        <f ca="1">IFERROR(__xludf.DUMMYFUNCTION("""COMPUTED_VALUE"""),49000)</f>
        <v>49000</v>
      </c>
      <c r="L328" t="str">
        <f ca="1">IFERROR(__xludf.DUMMYFUNCTION("""COMPUTED_VALUE"""),"ЛИМАН")</f>
        <v>ЛИМАН</v>
      </c>
      <c r="M328" t="str">
        <f ca="1">IFERROR(__xludf.DUMMYFUNCTION("""COMPUTED_VALUE"""),"11.08.21 11-30")</f>
        <v>11.08.21 11-30</v>
      </c>
      <c r="N328" t="str">
        <f ca="1">IFERROR(__xludf.DUMMYFUNCTION("""COMPUTED_VALUE"""),"85 ПРСТ")</f>
        <v>85 ПРСТ</v>
      </c>
      <c r="O328">
        <f ca="1">IFERROR(__xludf.DUMMYFUNCTION("""COMPUTED_VALUE"""),49620)</f>
        <v>49620</v>
      </c>
      <c r="P328" t="str">
        <f ca="1">IFERROR(__xludf.DUMMYFUNCTION("""COMPUTED_VALUE"""),"ДЕКОНСКАЯ")</f>
        <v>ДЕКОНСКАЯ</v>
      </c>
      <c r="Q328">
        <f ca="1">IFERROR(__xludf.DUMMYFUNCTION("""COMPUTED_VALUE"""),46350)</f>
        <v>46350</v>
      </c>
      <c r="R328" t="str">
        <f ca="1">IFERROR(__xludf.DUMMYFUNCTION("""COMPUTED_VALUE"""),"ПЕРЕДАТОЧНАЯ")</f>
        <v>ПЕРЕДАТОЧНАЯ</v>
      </c>
      <c r="S328" t="str">
        <f ca="1">IFERROR(__xludf.DUMMYFUNCTION("""COMPUTED_VALUE"""),"14.07.21 21-00")</f>
        <v>14.07.21 21-00</v>
      </c>
      <c r="T328">
        <f ca="1">IFERROR(__xludf.DUMMYFUNCTION("""COMPUTED_VALUE"""),0)</f>
        <v>0</v>
      </c>
      <c r="U328" t="str">
        <f ca="1">IFERROR(__xludf.DUMMYFUNCTION("""COMPUTED_VALUE"""),"10.09.2022 ДР")</f>
        <v>10.09.2022 ДР</v>
      </c>
      <c r="AA328" t="str">
        <f ca="1">IFERROR(__xludf.DUMMYFUNCTION("""COMPUTED_VALUE"""),"11-217")</f>
        <v>11-217</v>
      </c>
      <c r="AB328" t="str">
        <f ca="1">IFERROR(__xludf.DUMMYFUNCTION("""COMPUTED_VALUE"""),"40 ОД")</f>
        <v>40 ОД</v>
      </c>
      <c r="AC328" t="str">
        <f ca="1">IFERROR(__xludf.DUMMYFUNCTION("""COMPUTED_VALUE"""),"41190 ПОМОШНАЯ")</f>
        <v>41190 ПОМОШНАЯ</v>
      </c>
      <c r="AD328" t="str">
        <f ca="1">IFERROR(__xludf.DUMMYFUNCTION("""COMPUTED_VALUE"""),"05.09.20 10-00")</f>
        <v>05.09.20 10-00</v>
      </c>
      <c r="AE328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28" t="str">
        <f ca="1">IFERROR(__xludf.DUMMYFUNCTION("""COMPUTED_VALUE"""),"40 ОД")</f>
        <v>40 ОД</v>
      </c>
      <c r="AG328" t="str">
        <f ca="1">IFERROR(__xludf.DUMMYFUNCTION("""COMPUTED_VALUE"""),"41190 ПОМОШНАЯ")</f>
        <v>41190 ПОМОШНАЯ</v>
      </c>
      <c r="AH328" t="str">
        <f ca="1">IFERROR(__xludf.DUMMYFUNCTION("""COMPUTED_VALUE"""),"10.09.20 18-00")</f>
        <v>10.09.20 18-00</v>
      </c>
      <c r="AI328" s="21">
        <f ca="1">IFERROR(__xludf.DUMMYFUNCTION("""COMPUTED_VALUE"""),44420.3583449074)</f>
        <v>44420.358344907399</v>
      </c>
    </row>
    <row r="329" spans="1:35" ht="13" x14ac:dyDescent="0.15">
      <c r="A329">
        <f ca="1">IFERROR(__xludf.DUMMYFUNCTION("""COMPUTED_VALUE"""),1664)</f>
        <v>1664</v>
      </c>
      <c r="B329" t="str">
        <f ca="1">IFERROR(__xludf.DUMMYFUNCTION("""COMPUTED_VALUE"""),"ВИК")</f>
        <v>ВИК</v>
      </c>
      <c r="C329" t="str">
        <f ca="1">IFERROR(__xludf.DUMMYFUNCTION("""COMPUTED_VALUE"""),"ВИК")</f>
        <v>ВИК</v>
      </c>
      <c r="D329">
        <f ca="1">IFERROR(__xludf.DUMMYFUNCTION("""COMPUTED_VALUE"""),24097750)</f>
        <v>24097750</v>
      </c>
      <c r="E329" t="str">
        <f ca="1">IFERROR(__xludf.DUMMYFUNCTION("""COMPUTED_VALUE"""),"20 КРЫТЫЕ")</f>
        <v>20 КРЫТЫЕ</v>
      </c>
      <c r="F329">
        <f ca="1">IFERROR(__xludf.DUMMYFUNCTION("""COMPUTED_VALUE"""),42103)</f>
        <v>42103</v>
      </c>
      <c r="G329" t="str">
        <f ca="1">IFERROR(__xludf.DUMMYFUNCTION("""COMPUTED_VALUE"""),"ВАГОНЫ ЖД СВ")</f>
        <v>ВАГОНЫ ЖД СВ</v>
      </c>
      <c r="H329">
        <f ca="1">IFERROR(__xludf.DUMMYFUNCTION("""COMPUTED_VALUE"""),0)</f>
        <v>0</v>
      </c>
      <c r="I329">
        <f ca="1">IFERROR(__xludf.DUMMYFUNCTION("""COMPUTED_VALUE"""),4026)</f>
        <v>4026</v>
      </c>
      <c r="J329" t="str">
        <f ca="1">IFERROR(__xludf.DUMMYFUNCTION("""COMPUTED_VALUE"""),"3520 (48620-089-48630) ВОЛНОВАХА - ВЕЛИКО-АНАД")</f>
        <v>3520 (48620-089-48630) ВОЛНОВАХА - ВЕЛИКО-АНАД</v>
      </c>
      <c r="K329">
        <f ca="1">IFERROR(__xludf.DUMMYFUNCTION("""COMPUTED_VALUE"""),48630)</f>
        <v>48630</v>
      </c>
      <c r="L329" t="str">
        <f ca="1">IFERROR(__xludf.DUMMYFUNCTION("""COMPUTED_VALUE"""),"ВЕЛИКО-АНАД")</f>
        <v>ВЕЛИКО-АНАД</v>
      </c>
      <c r="M329" t="str">
        <f ca="1">IFERROR(__xludf.DUMMYFUNCTION("""COMPUTED_VALUE"""),"07.08.21 11-30")</f>
        <v>07.08.21 11-30</v>
      </c>
      <c r="N329" t="str">
        <f ca="1">IFERROR(__xludf.DUMMYFUNCTION("""COMPUTED_VALUE"""),"98 ОТОТ")</f>
        <v>98 ОТОТ</v>
      </c>
      <c r="O329">
        <f ca="1">IFERROR(__xludf.DUMMYFUNCTION("""COMPUTED_VALUE"""),48630)</f>
        <v>48630</v>
      </c>
      <c r="P329" t="str">
        <f ca="1">IFERROR(__xludf.DUMMYFUNCTION("""COMPUTED_VALUE"""),"ВЕЛИКО-АНАД")</f>
        <v>ВЕЛИКО-АНАД</v>
      </c>
      <c r="Q329">
        <f ca="1">IFERROR(__xludf.DUMMYFUNCTION("""COMPUTED_VALUE"""),32040)</f>
        <v>32040</v>
      </c>
      <c r="R329" t="str">
        <f ca="1">IFERROR(__xludf.DUMMYFUNCTION("""COMPUTED_VALUE"""),"ГРУШКИ")</f>
        <v>ГРУШКИ</v>
      </c>
      <c r="S329" t="str">
        <f ca="1">IFERROR(__xludf.DUMMYFUNCTION("""COMPUTED_VALUE"""),"28.07.21 10-15")</f>
        <v>28.07.21 10-15</v>
      </c>
      <c r="T329">
        <f ca="1">IFERROR(__xludf.DUMMYFUNCTION("""COMPUTED_VALUE"""),4456)</f>
        <v>4456</v>
      </c>
      <c r="U329" t="str">
        <f ca="1">IFERROR(__xludf.DUMMYFUNCTION("""COMPUTED_VALUE"""),"30.03.2022 ДР")</f>
        <v>30.03.2022 ДР</v>
      </c>
      <c r="AA329" t="str">
        <f ca="1">IFERROR(__xludf.DUMMYFUNCTION("""COMPUTED_VALUE"""),"11-217")</f>
        <v>11-217</v>
      </c>
      <c r="AB329" t="str">
        <f ca="1">IFERROR(__xludf.DUMMYFUNCTION("""COMPUTED_VALUE"""),"40 ОД")</f>
        <v>40 ОД</v>
      </c>
      <c r="AC329" t="str">
        <f ca="1">IFERROR(__xludf.DUMMYFUNCTION("""COMPUTED_VALUE"""),"41190 ПОМОШНАЯ")</f>
        <v>41190 ПОМОШНАЯ</v>
      </c>
      <c r="AD329" t="str">
        <f ca="1">IFERROR(__xludf.DUMMYFUNCTION("""COMPUTED_VALUE"""),"18.03.21 08-00")</f>
        <v>18.03.21 08-00</v>
      </c>
      <c r="AE329" t="str">
        <f ca="1">IFERROR(__xludf.DUMMYFUNCTION("""COMPUTED_VALUE"""),"570 ИCТEК КAЛЕНДАРНЫЙ CPOК ДEПOВCКОГО PEМOНТA")</f>
        <v>570 ИCТEК КAЛЕНДАРНЫЙ CPOК ДEПOВCКОГО PEМOНТA</v>
      </c>
      <c r="AF329" t="str">
        <f ca="1">IFERROR(__xludf.DUMMYFUNCTION("""COMPUTED_VALUE"""),"40 ОД")</f>
        <v>40 ОД</v>
      </c>
      <c r="AG329" t="str">
        <f ca="1">IFERROR(__xludf.DUMMYFUNCTION("""COMPUTED_VALUE"""),"41190 ПОМОШНАЯ")</f>
        <v>41190 ПОМОШНАЯ</v>
      </c>
      <c r="AH329" t="str">
        <f ca="1">IFERROR(__xludf.DUMMYFUNCTION("""COMPUTED_VALUE"""),"30.03.21 17-30")</f>
        <v>30.03.21 17-30</v>
      </c>
      <c r="AI329" s="21">
        <f ca="1">IFERROR(__xludf.DUMMYFUNCTION("""COMPUTED_VALUE"""),44420.3583449074)</f>
        <v>44420.358344907399</v>
      </c>
    </row>
    <row r="330" spans="1:35" ht="13" x14ac:dyDescent="0.15">
      <c r="A330">
        <f ca="1">IFERROR(__xludf.DUMMYFUNCTION("""COMPUTED_VALUE"""),1665)</f>
        <v>1665</v>
      </c>
      <c r="B330" t="str">
        <f ca="1">IFERROR(__xludf.DUMMYFUNCTION("""COMPUTED_VALUE"""),"ВИК")</f>
        <v>ВИК</v>
      </c>
      <c r="C330" t="str">
        <f ca="1">IFERROR(__xludf.DUMMYFUNCTION("""COMPUTED_VALUE"""),"ВИК")</f>
        <v>ВИК</v>
      </c>
      <c r="D330">
        <f ca="1">IFERROR(__xludf.DUMMYFUNCTION("""COMPUTED_VALUE"""),24097834)</f>
        <v>24097834</v>
      </c>
      <c r="E330" t="str">
        <f ca="1">IFERROR(__xludf.DUMMYFUNCTION("""COMPUTED_VALUE"""),"20 КРЫТЫЕ")</f>
        <v>20 КРЫТЫЕ</v>
      </c>
      <c r="F330">
        <f ca="1">IFERROR(__xludf.DUMMYFUNCTION("""COMPUTED_VALUE"""),42103)</f>
        <v>42103</v>
      </c>
      <c r="G330" t="str">
        <f ca="1">IFERROR(__xludf.DUMMYFUNCTION("""COMPUTED_VALUE"""),"ВАГОНЫ ЖД СВ")</f>
        <v>ВАГОНЫ ЖД СВ</v>
      </c>
      <c r="H330">
        <f ca="1">IFERROR(__xludf.DUMMYFUNCTION("""COMPUTED_VALUE"""),0)</f>
        <v>0</v>
      </c>
      <c r="I330">
        <f ca="1">IFERROR(__xludf.DUMMYFUNCTION("""COMPUTED_VALUE"""),4026)</f>
        <v>4026</v>
      </c>
      <c r="J330" t="str">
        <f ca="1">IFERROR(__xludf.DUMMYFUNCTION("""COMPUTED_VALUE"""),"3504 (48620-047-48630) ВОЛНОВАХА - ВЕЛИКО-АНАД")</f>
        <v>3504 (48620-047-48630) ВОЛНОВАХА - ВЕЛИКО-АНАД</v>
      </c>
      <c r="K330">
        <f ca="1">IFERROR(__xludf.DUMMYFUNCTION("""COMPUTED_VALUE"""),48630)</f>
        <v>48630</v>
      </c>
      <c r="L330" t="str">
        <f ca="1">IFERROR(__xludf.DUMMYFUNCTION("""COMPUTED_VALUE"""),"ВЕЛИКО-АНАД")</f>
        <v>ВЕЛИКО-АНАД</v>
      </c>
      <c r="M330" t="str">
        <f ca="1">IFERROR(__xludf.DUMMYFUNCTION("""COMPUTED_VALUE"""),"09.08.21 01-20")</f>
        <v>09.08.21 01-20</v>
      </c>
      <c r="N330" t="str">
        <f ca="1">IFERROR(__xludf.DUMMYFUNCTION("""COMPUTED_VALUE"""),"98 ОТОТ")</f>
        <v>98 ОТОТ</v>
      </c>
      <c r="O330">
        <f ca="1">IFERROR(__xludf.DUMMYFUNCTION("""COMPUTED_VALUE"""),48630)</f>
        <v>48630</v>
      </c>
      <c r="P330" t="str">
        <f ca="1">IFERROR(__xludf.DUMMYFUNCTION("""COMPUTED_VALUE"""),"ВЕЛИКО-АНАД")</f>
        <v>ВЕЛИКО-АНАД</v>
      </c>
      <c r="Q330">
        <f ca="1">IFERROR(__xludf.DUMMYFUNCTION("""COMPUTED_VALUE"""),35660)</f>
        <v>35660</v>
      </c>
      <c r="R330" t="str">
        <f ca="1">IFERROR(__xludf.DUMMYFUNCTION("""COMPUTED_VALUE"""),"РОВНО")</f>
        <v>РОВНО</v>
      </c>
      <c r="S330" t="str">
        <f ca="1">IFERROR(__xludf.DUMMYFUNCTION("""COMPUTED_VALUE"""),"26.07.21 14-00")</f>
        <v>26.07.21 14-00</v>
      </c>
      <c r="T330">
        <f ca="1">IFERROR(__xludf.DUMMYFUNCTION("""COMPUTED_VALUE"""),4456)</f>
        <v>4456</v>
      </c>
      <c r="U330" t="str">
        <f ca="1">IFERROR(__xludf.DUMMYFUNCTION("""COMPUTED_VALUE"""),"11.05.2022 ДР")</f>
        <v>11.05.2022 ДР</v>
      </c>
      <c r="AA330" t="str">
        <f ca="1">IFERROR(__xludf.DUMMYFUNCTION("""COMPUTED_VALUE"""),"11-217")</f>
        <v>11-217</v>
      </c>
      <c r="AB330" t="str">
        <f ca="1">IFERROR(__xludf.DUMMYFUNCTION("""COMPUTED_VALUE"""),"35 ЛЬВ")</f>
        <v>35 ЛЬВ</v>
      </c>
      <c r="AC330" t="str">
        <f ca="1">IFERROR(__xludf.DUMMYFUNCTION("""COMPUTED_VALUE"""),"35250 ИЗОВ")</f>
        <v>35250 ИЗОВ</v>
      </c>
      <c r="AD330" t="str">
        <f ca="1">IFERROR(__xludf.DUMMYFUNCTION("""COMPUTED_VALUE"""),"09.04.21 07-40")</f>
        <v>09.04.21 07-40</v>
      </c>
      <c r="AE330" t="str">
        <f ca="1">IFERROR(__xludf.DUMMYFUNCTION("""COMPUTED_VALUE"""),"503 OБPЫВ CВAPНOГO ШВA CТOЙКИ")</f>
        <v>503 OБPЫВ CВAPНOГO ШВA CТOЙКИ</v>
      </c>
      <c r="AF330" t="str">
        <f ca="1">IFERROR(__xludf.DUMMYFUNCTION("""COMPUTED_VALUE"""),"35 ЛЬВ")</f>
        <v>35 ЛЬВ</v>
      </c>
      <c r="AG330" t="str">
        <f ca="1">IFERROR(__xludf.DUMMYFUNCTION("""COMPUTED_VALUE"""),"35250 ИЗОВ")</f>
        <v>35250 ИЗОВ</v>
      </c>
      <c r="AH330" t="str">
        <f ca="1">IFERROR(__xludf.DUMMYFUNCTION("""COMPUTED_VALUE"""),"11.04.21 11-10")</f>
        <v>11.04.21 11-10</v>
      </c>
      <c r="AI330" s="21">
        <f ca="1">IFERROR(__xludf.DUMMYFUNCTION("""COMPUTED_VALUE"""),44420.3583449074)</f>
        <v>44420.358344907399</v>
      </c>
    </row>
    <row r="331" spans="1:35" ht="13" x14ac:dyDescent="0.15">
      <c r="A331">
        <f ca="1">IFERROR(__xludf.DUMMYFUNCTION("""COMPUTED_VALUE"""),1666)</f>
        <v>1666</v>
      </c>
      <c r="B331" t="str">
        <f ca="1">IFERROR(__xludf.DUMMYFUNCTION("""COMPUTED_VALUE"""),"ВИК")</f>
        <v>ВИК</v>
      </c>
      <c r="C331" t="str">
        <f ca="1">IFERROR(__xludf.DUMMYFUNCTION("""COMPUTED_VALUE"""),"ВИК")</f>
        <v>ВИК</v>
      </c>
      <c r="D331">
        <f ca="1">IFERROR(__xludf.DUMMYFUNCTION("""COMPUTED_VALUE"""),24097909)</f>
        <v>24097909</v>
      </c>
      <c r="E331" t="str">
        <f ca="1">IFERROR(__xludf.DUMMYFUNCTION("""COMPUTED_VALUE"""),"20 КРЫТЫЕ")</f>
        <v>20 КРЫТЫЕ</v>
      </c>
      <c r="F331">
        <f ca="1">IFERROR(__xludf.DUMMYFUNCTION("""COMPUTED_VALUE"""),42103)</f>
        <v>42103</v>
      </c>
      <c r="G331" t="str">
        <f ca="1">IFERROR(__xludf.DUMMYFUNCTION("""COMPUTED_VALUE"""),"ВАГОНЫ ЖД СВ")</f>
        <v>ВАГОНЫ ЖД СВ</v>
      </c>
      <c r="H331">
        <f ca="1">IFERROR(__xludf.DUMMYFUNCTION("""COMPUTED_VALUE"""),0)</f>
        <v>0</v>
      </c>
      <c r="I331">
        <f ca="1">IFERROR(__xludf.DUMMYFUNCTION("""COMPUTED_VALUE"""),4149)</f>
        <v>4149</v>
      </c>
      <c r="J331" t="str">
        <f ca="1">IFERROR(__xludf.DUMMYFUNCTION("""COMPUTED_VALUE"""),"2709 (32000-427-44020) ДАРНИЦА - ОСНОВА")</f>
        <v>2709 (32000-427-44020) ДАРНИЦА - ОСНОВА</v>
      </c>
      <c r="K331">
        <f ca="1">IFERROR(__xludf.DUMMYFUNCTION("""COMPUTED_VALUE"""),44020)</f>
        <v>44020</v>
      </c>
      <c r="L331" t="str">
        <f ca="1">IFERROR(__xludf.DUMMYFUNCTION("""COMPUTED_VALUE"""),"ОСНОВА")</f>
        <v>ОСНОВА</v>
      </c>
      <c r="M331" t="str">
        <f ca="1">IFERROR(__xludf.DUMMYFUNCTION("""COMPUTED_VALUE"""),"10.08.21 13-20")</f>
        <v>10.08.21 13-20</v>
      </c>
      <c r="N331" t="str">
        <f ca="1">IFERROR(__xludf.DUMMYFUNCTION("""COMPUTED_VALUE"""),"98 ОТОТ")</f>
        <v>98 ОТОТ</v>
      </c>
      <c r="O331">
        <f ca="1">IFERROR(__xludf.DUMMYFUNCTION("""COMPUTED_VALUE"""),49620)</f>
        <v>49620</v>
      </c>
      <c r="P331" t="str">
        <f ca="1">IFERROR(__xludf.DUMMYFUNCTION("""COMPUTED_VALUE"""),"ДЕКОНСКАЯ")</f>
        <v>ДЕКОНСКАЯ</v>
      </c>
      <c r="Q331">
        <f ca="1">IFERROR(__xludf.DUMMYFUNCTION("""COMPUTED_VALUE"""),32060)</f>
        <v>32060</v>
      </c>
      <c r="R331" t="str">
        <f ca="1">IFERROR(__xludf.DUMMYFUNCTION("""COMPUTED_VALUE"""),"ПОЧАЙНА")</f>
        <v>ПОЧАЙНА</v>
      </c>
      <c r="S331" t="str">
        <f ca="1">IFERROR(__xludf.DUMMYFUNCTION("""COMPUTED_VALUE"""),"04.08.21 11-20")</f>
        <v>04.08.21 11-20</v>
      </c>
      <c r="T331">
        <f ca="1">IFERROR(__xludf.DUMMYFUNCTION("""COMPUTED_VALUE"""),4456)</f>
        <v>4456</v>
      </c>
      <c r="U331" t="str">
        <f ca="1">IFERROR(__xludf.DUMMYFUNCTION("""COMPUTED_VALUE"""),"27.04.2022 ДР")</f>
        <v>27.04.2022 ДР</v>
      </c>
      <c r="AA331" t="str">
        <f ca="1">IFERROR(__xludf.DUMMYFUNCTION("""COMPUTED_VALUE"""),"11-217")</f>
        <v>11-217</v>
      </c>
      <c r="AB331" t="str">
        <f ca="1">IFERROR(__xludf.DUMMYFUNCTION("""COMPUTED_VALUE"""),"43 ЮЖН")</f>
        <v>43 ЮЖН</v>
      </c>
      <c r="AC331" t="str">
        <f ca="1">IFERROR(__xludf.DUMMYFUNCTION("""COMPUTED_VALUE"""),"44020 ОСНОВА")</f>
        <v>44020 ОСНОВА</v>
      </c>
      <c r="AD331" t="str">
        <f ca="1">IFERROR(__xludf.DUMMYFUNCTION("""COMPUTED_VALUE"""),"10.08.21 12-10")</f>
        <v>10.08.21 12-10</v>
      </c>
      <c r="AE331" t="str">
        <f ca="1">IFERROR(__xludf.DUMMYFUNCTION("""COMPUTED_VALUE"""),"537 НEИCПPAВНOCТЬ ЗAПOPA ДВEPИ")</f>
        <v>537 НEИCПPAВНOCТЬ ЗAПOPA ДВEPИ</v>
      </c>
      <c r="AF331" t="str">
        <f ca="1">IFERROR(__xludf.DUMMYFUNCTION("""COMPUTED_VALUE"""),"43 ЮЖН")</f>
        <v>43 ЮЖН</v>
      </c>
      <c r="AG331" t="str">
        <f ca="1">IFERROR(__xludf.DUMMYFUNCTION("""COMPUTED_VALUE"""),"43000 КУПЯНСК-СОРТ")</f>
        <v>43000 КУПЯНСК-СОРТ</v>
      </c>
      <c r="AH331" t="str">
        <f ca="1">IFERROR(__xludf.DUMMYFUNCTION("""COMPUTED_VALUE"""),"30.01.21 16-00")</f>
        <v>30.01.21 16-00</v>
      </c>
      <c r="AI331" s="21">
        <f ca="1">IFERROR(__xludf.DUMMYFUNCTION("""COMPUTED_VALUE"""),44420.3583449074)</f>
        <v>44420.358344907399</v>
      </c>
    </row>
    <row r="332" spans="1:35" ht="13" x14ac:dyDescent="0.15">
      <c r="A332">
        <f ca="1">IFERROR(__xludf.DUMMYFUNCTION("""COMPUTED_VALUE"""),1667)</f>
        <v>1667</v>
      </c>
      <c r="B332" t="str">
        <f ca="1">IFERROR(__xludf.DUMMYFUNCTION("""COMPUTED_VALUE"""),"ВИК")</f>
        <v>ВИК</v>
      </c>
      <c r="C332" t="str">
        <f ca="1">IFERROR(__xludf.DUMMYFUNCTION("""COMPUTED_VALUE"""),"ВИК")</f>
        <v>ВИК</v>
      </c>
      <c r="D332">
        <f ca="1">IFERROR(__xludf.DUMMYFUNCTION("""COMPUTED_VALUE"""),24097917)</f>
        <v>24097917</v>
      </c>
      <c r="E332" t="str">
        <f ca="1">IFERROR(__xludf.DUMMYFUNCTION("""COMPUTED_VALUE"""),"20 КРЫТЫЕ")</f>
        <v>20 КРЫТЫЕ</v>
      </c>
      <c r="F332">
        <f ca="1">IFERROR(__xludf.DUMMYFUNCTION("""COMPUTED_VALUE"""),42103)</f>
        <v>42103</v>
      </c>
      <c r="G332" t="str">
        <f ca="1">IFERROR(__xludf.DUMMYFUNCTION("""COMPUTED_VALUE"""),"ВАГОНЫ ЖД СВ")</f>
        <v>ВАГОНЫ ЖД СВ</v>
      </c>
      <c r="H332">
        <f ca="1">IFERROR(__xludf.DUMMYFUNCTION("""COMPUTED_VALUE"""),66)</f>
        <v>66</v>
      </c>
      <c r="I332">
        <f ca="1">IFERROR(__xludf.DUMMYFUNCTION("""COMPUTED_VALUE"""),6302)</f>
        <v>6302</v>
      </c>
      <c r="J332" t="str">
        <f ca="1">IFERROR(__xludf.DUMMYFUNCTION("""COMPUTED_VALUE"""),"3802 (49460-038-49640) БАХМУТ -")</f>
        <v>3802 (49460-038-49640) БАХМУТ -</v>
      </c>
      <c r="K332">
        <f ca="1">IFERROR(__xludf.DUMMYFUNCTION("""COMPUTED_VALUE"""),49620)</f>
        <v>49620</v>
      </c>
      <c r="L332" t="str">
        <f ca="1">IFERROR(__xludf.DUMMYFUNCTION("""COMPUTED_VALUE"""),"ДЕКОНСКАЯ")</f>
        <v>ДЕКОНСКАЯ</v>
      </c>
      <c r="M332" t="str">
        <f ca="1">IFERROR(__xludf.DUMMYFUNCTION("""COMPUTED_VALUE"""),"10.08.21 21-00")</f>
        <v>10.08.21 21-00</v>
      </c>
      <c r="N332" t="str">
        <f ca="1">IFERROR(__xludf.DUMMYFUNCTION("""COMPUTED_VALUE"""),"98 ОТОТ")</f>
        <v>98 ОТОТ</v>
      </c>
      <c r="O332">
        <f ca="1">IFERROR(__xludf.DUMMYFUNCTION("""COMPUTED_VALUE"""),49620)</f>
        <v>49620</v>
      </c>
      <c r="P332" t="str">
        <f ca="1">IFERROR(__xludf.DUMMYFUNCTION("""COMPUTED_VALUE"""),"ДЕКОНСКАЯ")</f>
        <v>ДЕКОНСКАЯ</v>
      </c>
      <c r="Q332">
        <f ca="1">IFERROR(__xludf.DUMMYFUNCTION("""COMPUTED_VALUE"""),40200)</f>
        <v>40200</v>
      </c>
      <c r="R332" t="str">
        <f ca="1">IFERROR(__xludf.DUMMYFUNCTION("""COMPUTED_VALUE"""),"ЧЕРНОМОРСК-П")</f>
        <v>ЧЕРНОМОРСК-П</v>
      </c>
      <c r="S332" t="str">
        <f ca="1">IFERROR(__xludf.DUMMYFUNCTION("""COMPUTED_VALUE"""),"20.07.21 16-20")</f>
        <v>20.07.21 16-20</v>
      </c>
      <c r="T332">
        <f ca="1">IFERROR(__xludf.DUMMYFUNCTION("""COMPUTED_VALUE"""),0)</f>
        <v>0</v>
      </c>
      <c r="U332" t="str">
        <f ca="1">IFERROR(__xludf.DUMMYFUNCTION("""COMPUTED_VALUE"""),"08.08.2023 ДР")</f>
        <v>08.08.2023 ДР</v>
      </c>
      <c r="AA332" t="str">
        <f ca="1">IFERROR(__xludf.DUMMYFUNCTION("""COMPUTED_VALUE"""),"11-217")</f>
        <v>11-217</v>
      </c>
      <c r="AB332" t="str">
        <f ca="1">IFERROR(__xludf.DUMMYFUNCTION("""COMPUTED_VALUE"""),"40 ОД")</f>
        <v>40 ОД</v>
      </c>
      <c r="AC332" t="str">
        <f ca="1">IFERROR(__xludf.DUMMYFUNCTION("""COMPUTED_VALUE"""),"41190 ПОМОШНАЯ")</f>
        <v>41190 ПОМОШНАЯ</v>
      </c>
      <c r="AD332" t="str">
        <f ca="1">IFERROR(__xludf.DUMMYFUNCTION("""COMPUTED_VALUE"""),"06.08.20 13-00")</f>
        <v>06.08.20 13-00</v>
      </c>
      <c r="AE332" t="str">
        <f ca="1">IFERROR(__xludf.DUMMYFUNCTION("""COMPUTED_VALUE"""),"570 ИCТEК КAЛЕНДАРНЫЙ CPOК ДEПOВCКОГО PEМOНТA")</f>
        <v>570 ИCТEК КAЛЕНДАРНЫЙ CPOК ДEПOВCКОГО PEМOНТA</v>
      </c>
      <c r="AF332" t="str">
        <f ca="1">IFERROR(__xludf.DUMMYFUNCTION("""COMPUTED_VALUE"""),"40 ОД")</f>
        <v>40 ОД</v>
      </c>
      <c r="AG332" t="str">
        <f ca="1">IFERROR(__xludf.DUMMYFUNCTION("""COMPUTED_VALUE"""),"41190 ПОМОШНАЯ")</f>
        <v>41190 ПОМОШНАЯ</v>
      </c>
      <c r="AH332" t="str">
        <f ca="1">IFERROR(__xludf.DUMMYFUNCTION("""COMPUTED_VALUE"""),"08.08.20 16-30")</f>
        <v>08.08.20 16-30</v>
      </c>
      <c r="AI332" s="21">
        <f ca="1">IFERROR(__xludf.DUMMYFUNCTION("""COMPUTED_VALUE"""),44420.3583449074)</f>
        <v>44420.358344907399</v>
      </c>
    </row>
    <row r="333" spans="1:35" ht="13" x14ac:dyDescent="0.15">
      <c r="A333">
        <f ca="1">IFERROR(__xludf.DUMMYFUNCTION("""COMPUTED_VALUE"""),1668)</f>
        <v>1668</v>
      </c>
      <c r="B333" t="str">
        <f ca="1">IFERROR(__xludf.DUMMYFUNCTION("""COMPUTED_VALUE"""),"ВИК")</f>
        <v>ВИК</v>
      </c>
      <c r="C333" t="str">
        <f ca="1">IFERROR(__xludf.DUMMYFUNCTION("""COMPUTED_VALUE"""),"ВИК")</f>
        <v>ВИК</v>
      </c>
      <c r="D333">
        <f ca="1">IFERROR(__xludf.DUMMYFUNCTION("""COMPUTED_VALUE"""),24105504)</f>
        <v>24105504</v>
      </c>
      <c r="E333" t="str">
        <f ca="1">IFERROR(__xludf.DUMMYFUNCTION("""COMPUTED_VALUE"""),"20 КРЫТЫЕ")</f>
        <v>20 КРЫТЫЕ</v>
      </c>
      <c r="F333">
        <f ca="1">IFERROR(__xludf.DUMMYFUNCTION("""COMPUTED_VALUE"""),42103)</f>
        <v>42103</v>
      </c>
      <c r="G333" t="str">
        <f ca="1">IFERROR(__xludf.DUMMYFUNCTION("""COMPUTED_VALUE"""),"ВАГОНЫ ЖД СВ")</f>
        <v>ВАГОНЫ ЖД СВ</v>
      </c>
      <c r="H333">
        <f ca="1">IFERROR(__xludf.DUMMYFUNCTION("""COMPUTED_VALUE"""),0)</f>
        <v>0</v>
      </c>
      <c r="I333">
        <f ca="1">IFERROR(__xludf.DUMMYFUNCTION("""COMPUTED_VALUE"""),4714)</f>
        <v>4714</v>
      </c>
      <c r="J333" t="str">
        <f ca="1">IFERROR(__xludf.DUMMYFUNCTION("""COMPUTED_VALUE"""),"3574 (49460-087-49000) БАХМУТ - ЛИМАН")</f>
        <v>3574 (49460-087-49000) БАХМУТ - ЛИМАН</v>
      </c>
      <c r="K333">
        <f ca="1">IFERROR(__xludf.DUMMYFUNCTION("""COMPUTED_VALUE"""),49480)</f>
        <v>49480</v>
      </c>
      <c r="L333" t="str">
        <f ca="1">IFERROR(__xludf.DUMMYFUNCTION("""COMPUTED_VALUE"""),"СОЛЬ")</f>
        <v>СОЛЬ</v>
      </c>
      <c r="M333" t="str">
        <f ca="1">IFERROR(__xludf.DUMMYFUNCTION("""COMPUTED_VALUE"""),"29.07.21 13-00")</f>
        <v>29.07.21 13-00</v>
      </c>
      <c r="N333" t="str">
        <f ca="1">IFERROR(__xludf.DUMMYFUNCTION("""COMPUTED_VALUE"""),"98 ОТОТ")</f>
        <v>98 ОТОТ</v>
      </c>
      <c r="O333">
        <f ca="1">IFERROR(__xludf.DUMMYFUNCTION("""COMPUTED_VALUE"""),49480)</f>
        <v>49480</v>
      </c>
      <c r="P333" t="str">
        <f ca="1">IFERROR(__xludf.DUMMYFUNCTION("""COMPUTED_VALUE"""),"СОЛЬ")</f>
        <v>СОЛЬ</v>
      </c>
      <c r="Q333">
        <f ca="1">IFERROR(__xludf.DUMMYFUNCTION("""COMPUTED_VALUE"""),40510)</f>
        <v>40510</v>
      </c>
      <c r="R333" t="str">
        <f ca="1">IFERROR(__xludf.DUMMYFUNCTION("""COMPUTED_VALUE"""),"ОДЕССА-ЗАС I")</f>
        <v>ОДЕССА-ЗАС I</v>
      </c>
      <c r="S333" t="str">
        <f ca="1">IFERROR(__xludf.DUMMYFUNCTION("""COMPUTED_VALUE"""),"13.07.21 14-10")</f>
        <v>13.07.21 14-10</v>
      </c>
      <c r="T333">
        <f ca="1">IFERROR(__xludf.DUMMYFUNCTION("""COMPUTED_VALUE"""),4456)</f>
        <v>4456</v>
      </c>
      <c r="U333" t="str">
        <f ca="1">IFERROR(__xludf.DUMMYFUNCTION("""COMPUTED_VALUE"""),"10.05.2022 ДР")</f>
        <v>10.05.2022 ДР</v>
      </c>
      <c r="AA333" t="str">
        <f ca="1">IFERROR(__xludf.DUMMYFUNCTION("""COMPUTED_VALUE"""),"11-217")</f>
        <v>11-217</v>
      </c>
      <c r="AB333" t="str">
        <f ca="1">IFERROR(__xludf.DUMMYFUNCTION("""COMPUTED_VALUE"""),"40 ОД")</f>
        <v>40 ОД</v>
      </c>
      <c r="AC333" t="str">
        <f ca="1">IFERROR(__xludf.DUMMYFUNCTION("""COMPUTED_VALUE"""),"40000 ОДЕССА-СОРТ")</f>
        <v>40000 ОДЕССА-СОРТ</v>
      </c>
      <c r="AD333" t="str">
        <f ca="1">IFERROR(__xludf.DUMMYFUNCTION("""COMPUTED_VALUE"""),"15.07.21 09-14")</f>
        <v>15.07.21 09-14</v>
      </c>
      <c r="AE333" t="str">
        <f ca="1">IFERROR(__xludf.DUMMYFUNCTION("""COMPUTED_VALUE"""),"537 НEИCПPAВНOCТЬ ЗAПOPA ДВEPИ")</f>
        <v>537 НEИCПPAВНOCТЬ ЗAПOPA ДВEPИ</v>
      </c>
      <c r="AF333" t="str">
        <f ca="1">IFERROR(__xludf.DUMMYFUNCTION("""COMPUTED_VALUE"""),"40 ОД")</f>
        <v>40 ОД</v>
      </c>
      <c r="AG333" t="str">
        <f ca="1">IFERROR(__xludf.DUMMYFUNCTION("""COMPUTED_VALUE"""),"40000 ОДЕССА-СОРТ")</f>
        <v>40000 ОДЕССА-СОРТ</v>
      </c>
      <c r="AH333" t="str">
        <f ca="1">IFERROR(__xludf.DUMMYFUNCTION("""COMPUTED_VALUE"""),"17.07.21 14-30")</f>
        <v>17.07.21 14-30</v>
      </c>
      <c r="AI333" s="21">
        <f ca="1">IFERROR(__xludf.DUMMYFUNCTION("""COMPUTED_VALUE"""),44420.3583449074)</f>
        <v>44420.358344907399</v>
      </c>
    </row>
    <row r="334" spans="1:35" ht="13" x14ac:dyDescent="0.15">
      <c r="A334">
        <f ca="1">IFERROR(__xludf.DUMMYFUNCTION("""COMPUTED_VALUE"""),1669)</f>
        <v>1669</v>
      </c>
      <c r="B334" t="str">
        <f ca="1">IFERROR(__xludf.DUMMYFUNCTION("""COMPUTED_VALUE"""),"ВИК")</f>
        <v>ВИК</v>
      </c>
      <c r="C334" t="str">
        <f ca="1">IFERROR(__xludf.DUMMYFUNCTION("""COMPUTED_VALUE"""),"ВИК")</f>
        <v>ВИК</v>
      </c>
      <c r="D334">
        <f ca="1">IFERROR(__xludf.DUMMYFUNCTION("""COMPUTED_VALUE"""),24134058)</f>
        <v>24134058</v>
      </c>
      <c r="E334" t="str">
        <f ca="1">IFERROR(__xludf.DUMMYFUNCTION("""COMPUTED_VALUE"""),"20 КРЫТЫЕ")</f>
        <v>20 КРЫТЫЕ</v>
      </c>
      <c r="F334">
        <f ca="1">IFERROR(__xludf.DUMMYFUNCTION("""COMPUTED_VALUE"""),42103)</f>
        <v>42103</v>
      </c>
      <c r="G334" t="str">
        <f ca="1">IFERROR(__xludf.DUMMYFUNCTION("""COMPUTED_VALUE"""),"ВАГОНЫ ЖД СВ")</f>
        <v>ВАГОНЫ ЖД СВ</v>
      </c>
      <c r="H334">
        <f ca="1">IFERROR(__xludf.DUMMYFUNCTION("""COMPUTED_VALUE"""),0)</f>
        <v>0</v>
      </c>
      <c r="I334">
        <f ca="1">IFERROR(__xludf.DUMMYFUNCTION("""COMPUTED_VALUE"""),4149)</f>
        <v>4149</v>
      </c>
      <c r="J334" t="str">
        <f ca="1">IFERROR(__xludf.DUMMYFUNCTION("""COMPUTED_VALUE"""),"3505 (49000-791-49460) ЛИМАН - БАХМУТ")</f>
        <v>3505 (49000-791-49460) ЛИМАН - БАХМУТ</v>
      </c>
      <c r="K334">
        <f ca="1">IFERROR(__xludf.DUMMYFUNCTION("""COMPUTED_VALUE"""),49000)</f>
        <v>49000</v>
      </c>
      <c r="L334" t="str">
        <f ca="1">IFERROR(__xludf.DUMMYFUNCTION("""COMPUTED_VALUE"""),"ЛИМАН")</f>
        <v>ЛИМАН</v>
      </c>
      <c r="M334" t="str">
        <f ca="1">IFERROR(__xludf.DUMMYFUNCTION("""COMPUTED_VALUE"""),"11.08.21 11-30")</f>
        <v>11.08.21 11-30</v>
      </c>
      <c r="N334" t="str">
        <f ca="1">IFERROR(__xludf.DUMMYFUNCTION("""COMPUTED_VALUE"""),"85 ПРСТ")</f>
        <v>85 ПРСТ</v>
      </c>
      <c r="O334">
        <f ca="1">IFERROR(__xludf.DUMMYFUNCTION("""COMPUTED_VALUE"""),49620)</f>
        <v>49620</v>
      </c>
      <c r="P334" t="str">
        <f ca="1">IFERROR(__xludf.DUMMYFUNCTION("""COMPUTED_VALUE"""),"ДЕКОНСКАЯ")</f>
        <v>ДЕКОНСКАЯ</v>
      </c>
      <c r="Q334">
        <f ca="1">IFERROR(__xludf.DUMMYFUNCTION("""COMPUTED_VALUE"""),35780)</f>
        <v>35780</v>
      </c>
      <c r="R334" t="str">
        <f ca="1">IFERROR(__xludf.DUMMYFUNCTION("""COMPUTED_VALUE"""),"ЛУЦК")</f>
        <v>ЛУЦК</v>
      </c>
      <c r="S334" t="str">
        <f ca="1">IFERROR(__xludf.DUMMYFUNCTION("""COMPUTED_VALUE"""),"28.07.21 16-30")</f>
        <v>28.07.21 16-30</v>
      </c>
      <c r="T334">
        <f ca="1">IFERROR(__xludf.DUMMYFUNCTION("""COMPUTED_VALUE"""),4456)</f>
        <v>4456</v>
      </c>
      <c r="U334" t="str">
        <f ca="1">IFERROR(__xludf.DUMMYFUNCTION("""COMPUTED_VALUE"""),"01.04.2023 ТР-1")</f>
        <v>01.04.2023 ТР-1</v>
      </c>
      <c r="AA334" t="str">
        <f ca="1">IFERROR(__xludf.DUMMYFUNCTION("""COMPUTED_VALUE"""),"11-217")</f>
        <v>11-217</v>
      </c>
      <c r="AB334" t="str">
        <f ca="1">IFERROR(__xludf.DUMMYFUNCTION("""COMPUTED_VALUE"""),"32 Ю-ЗАП")</f>
        <v>32 Ю-ЗАП</v>
      </c>
      <c r="AC334" t="str">
        <f ca="1">IFERROR(__xludf.DUMMYFUNCTION("""COMPUTED_VALUE"""),"33000 ЖМЕРИНКА")</f>
        <v>33000 ЖМЕРИНКА</v>
      </c>
      <c r="AD334" t="str">
        <f ca="1">IFERROR(__xludf.DUMMYFUNCTION("""COMPUTED_VALUE"""),"29.11.20 22-46")</f>
        <v>29.11.20 22-46</v>
      </c>
      <c r="AE334" t="str">
        <f ca="1">IFERROR(__xludf.DUMMYFUNCTION("""COMPUTED_VALUE"""),"445 ЗAВAP БAШМAКA")</f>
        <v>445 ЗAВAP БAШМAКA</v>
      </c>
      <c r="AF334" t="str">
        <f ca="1">IFERROR(__xludf.DUMMYFUNCTION("""COMPUTED_VALUE"""),"32 Ю-ЗАП")</f>
        <v>32 Ю-ЗАП</v>
      </c>
      <c r="AG334" t="str">
        <f ca="1">IFERROR(__xludf.DUMMYFUNCTION("""COMPUTED_VALUE"""),"33000 ЖМЕРИНКА")</f>
        <v>33000 ЖМЕРИНКА</v>
      </c>
      <c r="AH334" t="str">
        <f ca="1">IFERROR(__xludf.DUMMYFUNCTION("""COMPUTED_VALUE"""),"01.12.20 15-00")</f>
        <v>01.12.20 15-00</v>
      </c>
      <c r="AI334" s="21">
        <f ca="1">IFERROR(__xludf.DUMMYFUNCTION("""COMPUTED_VALUE"""),44420.3583449074)</f>
        <v>44420.358344907399</v>
      </c>
    </row>
    <row r="335" spans="1:35" ht="13" x14ac:dyDescent="0.15">
      <c r="A335">
        <f ca="1">IFERROR(__xludf.DUMMYFUNCTION("""COMPUTED_VALUE"""),1670)</f>
        <v>1670</v>
      </c>
      <c r="B335" t="str">
        <f ca="1">IFERROR(__xludf.DUMMYFUNCTION("""COMPUTED_VALUE"""),"ВИК")</f>
        <v>ВИК</v>
      </c>
      <c r="C335" t="str">
        <f ca="1">IFERROR(__xludf.DUMMYFUNCTION("""COMPUTED_VALUE"""),"ВИК")</f>
        <v>ВИК</v>
      </c>
      <c r="D335">
        <f ca="1">IFERROR(__xludf.DUMMYFUNCTION("""COMPUTED_VALUE"""),24203283)</f>
        <v>24203283</v>
      </c>
      <c r="E335" t="str">
        <f ca="1">IFERROR(__xludf.DUMMYFUNCTION("""COMPUTED_VALUE"""),"20 КРЫТЫЕ")</f>
        <v>20 КРЫТЫЕ</v>
      </c>
      <c r="F335">
        <f ca="1">IFERROR(__xludf.DUMMYFUNCTION("""COMPUTED_VALUE"""),42103)</f>
        <v>42103</v>
      </c>
      <c r="G335" t="str">
        <f ca="1">IFERROR(__xludf.DUMMYFUNCTION("""COMPUTED_VALUE"""),"ВАГОНЫ ЖД СВ")</f>
        <v>ВАГОНЫ ЖД СВ</v>
      </c>
      <c r="H335">
        <f ca="1">IFERROR(__xludf.DUMMYFUNCTION("""COMPUTED_VALUE"""),0)</f>
        <v>0</v>
      </c>
      <c r="I335">
        <f ca="1">IFERROR(__xludf.DUMMYFUNCTION("""COMPUTED_VALUE"""),4714)</f>
        <v>4714</v>
      </c>
      <c r="J335" t="str">
        <f ca="1">IFERROR(__xludf.DUMMYFUNCTION("""COMPUTED_VALUE"""),"3574 (49460-087-49000) БАХМУТ - ЛИМАН")</f>
        <v>3574 (49460-087-49000) БАХМУТ - ЛИМАН</v>
      </c>
      <c r="K335">
        <f ca="1">IFERROR(__xludf.DUMMYFUNCTION("""COMPUTED_VALUE"""),49480)</f>
        <v>49480</v>
      </c>
      <c r="L335" t="str">
        <f ca="1">IFERROR(__xludf.DUMMYFUNCTION("""COMPUTED_VALUE"""),"СОЛЬ")</f>
        <v>СОЛЬ</v>
      </c>
      <c r="M335" t="str">
        <f ca="1">IFERROR(__xludf.DUMMYFUNCTION("""COMPUTED_VALUE"""),"29.07.21 12-05")</f>
        <v>29.07.21 12-05</v>
      </c>
      <c r="N335" t="str">
        <f ca="1">IFERROR(__xludf.DUMMYFUNCTION("""COMPUTED_VALUE"""),"98 ОТОТ")</f>
        <v>98 ОТОТ</v>
      </c>
      <c r="O335">
        <f ca="1">IFERROR(__xludf.DUMMYFUNCTION("""COMPUTED_VALUE"""),49480)</f>
        <v>49480</v>
      </c>
      <c r="P335" t="str">
        <f ca="1">IFERROR(__xludf.DUMMYFUNCTION("""COMPUTED_VALUE"""),"СОЛЬ")</f>
        <v>СОЛЬ</v>
      </c>
      <c r="Q335">
        <f ca="1">IFERROR(__xludf.DUMMYFUNCTION("""COMPUTED_VALUE"""),32040)</f>
        <v>32040</v>
      </c>
      <c r="R335" t="str">
        <f ca="1">IFERROR(__xludf.DUMMYFUNCTION("""COMPUTED_VALUE"""),"ГРУШКИ")</f>
        <v>ГРУШКИ</v>
      </c>
      <c r="S335" t="str">
        <f ca="1">IFERROR(__xludf.DUMMYFUNCTION("""COMPUTED_VALUE"""),"19.07.21 11-00")</f>
        <v>19.07.21 11-00</v>
      </c>
      <c r="T335">
        <f ca="1">IFERROR(__xludf.DUMMYFUNCTION("""COMPUTED_VALUE"""),4456)</f>
        <v>4456</v>
      </c>
      <c r="U335" t="str">
        <f ca="1">IFERROR(__xludf.DUMMYFUNCTION("""COMPUTED_VALUE"""),"18.04.2022 ДР")</f>
        <v>18.04.2022 ДР</v>
      </c>
      <c r="AA335" t="str">
        <f ca="1">IFERROR(__xludf.DUMMYFUNCTION("""COMPUTED_VALUE"""),"11-217")</f>
        <v>11-217</v>
      </c>
      <c r="AB335" t="str">
        <f ca="1">IFERROR(__xludf.DUMMYFUNCTION("""COMPUTED_VALUE"""),"40 ОД")</f>
        <v>40 ОД</v>
      </c>
      <c r="AC335" t="str">
        <f ca="1">IFERROR(__xludf.DUMMYFUNCTION("""COMPUTED_VALUE"""),"41000 ЗНАМЕНКА")</f>
        <v>41000 ЗНАМЕНКА</v>
      </c>
      <c r="AD335" t="str">
        <f ca="1">IFERROR(__xludf.DUMMYFUNCTION("""COMPUTED_VALUE"""),"18.04.19 05-00")</f>
        <v>18.04.19 05-00</v>
      </c>
      <c r="AE335" t="str">
        <f ca="1">IFERROR(__xludf.DUMMYFUNCTION("""COMPUTED_VALUE"""),"571 ИCТEК КAЛЕНДАРНЫЙ CPOК КAПИТAЛЬНОГО PEМOНТA")</f>
        <v>571 ИCТEК КAЛЕНДАРНЫЙ CPOК КAПИТAЛЬНОГО PEМOНТA</v>
      </c>
      <c r="AF335" t="str">
        <f ca="1">IFERROR(__xludf.DUMMYFUNCTION("""COMPUTED_VALUE"""),"40 ОД")</f>
        <v>40 ОД</v>
      </c>
      <c r="AG335" t="str">
        <f ca="1">IFERROR(__xludf.DUMMYFUNCTION("""COMPUTED_VALUE"""),"41000 ЗНАМЕНКА")</f>
        <v>41000 ЗНАМЕНКА</v>
      </c>
      <c r="AH335" t="str">
        <f ca="1">IFERROR(__xludf.DUMMYFUNCTION("""COMPUTED_VALUE"""),"18.04.19 17-40")</f>
        <v>18.04.19 17-40</v>
      </c>
      <c r="AI335" s="21">
        <f ca="1">IFERROR(__xludf.DUMMYFUNCTION("""COMPUTED_VALUE"""),44420.3583449074)</f>
        <v>44420.358344907399</v>
      </c>
    </row>
    <row r="336" spans="1:35" ht="13" x14ac:dyDescent="0.15">
      <c r="A336">
        <f ca="1">IFERROR(__xludf.DUMMYFUNCTION("""COMPUTED_VALUE"""),1671)</f>
        <v>1671</v>
      </c>
      <c r="B336" t="str">
        <f ca="1">IFERROR(__xludf.DUMMYFUNCTION("""COMPUTED_VALUE"""),"ВИК")</f>
        <v>ВИК</v>
      </c>
      <c r="C336" t="str">
        <f ca="1">IFERROR(__xludf.DUMMYFUNCTION("""COMPUTED_VALUE"""),"ВИК")</f>
        <v>ВИК</v>
      </c>
      <c r="D336">
        <f ca="1">IFERROR(__xludf.DUMMYFUNCTION("""COMPUTED_VALUE"""),24210031)</f>
        <v>24210031</v>
      </c>
      <c r="E336" t="str">
        <f ca="1">IFERROR(__xludf.DUMMYFUNCTION("""COMPUTED_VALUE"""),"20 КРЫТЫЕ")</f>
        <v>20 КРЫТЫЕ</v>
      </c>
      <c r="F336">
        <f ca="1">IFERROR(__xludf.DUMMYFUNCTION("""COMPUTED_VALUE"""),42103)</f>
        <v>42103</v>
      </c>
      <c r="G336" t="str">
        <f ca="1">IFERROR(__xludf.DUMMYFUNCTION("""COMPUTED_VALUE"""),"ВАГОНЫ ЖД СВ")</f>
        <v>ВАГОНЫ ЖД СВ</v>
      </c>
      <c r="H336">
        <f ca="1">IFERROR(__xludf.DUMMYFUNCTION("""COMPUTED_VALUE"""),0)</f>
        <v>0</v>
      </c>
      <c r="I336">
        <f ca="1">IFERROR(__xludf.DUMMYFUNCTION("""COMPUTED_VALUE"""),4149)</f>
        <v>4149</v>
      </c>
      <c r="J336" t="str">
        <f ca="1">IFERROR(__xludf.DUMMYFUNCTION("""COMPUTED_VALUE"""),"2709 (32000-427-44020) ДАРНИЦА - ОСНОВА")</f>
        <v>2709 (32000-427-44020) ДАРНИЦА - ОСНОВА</v>
      </c>
      <c r="K336">
        <f ca="1">IFERROR(__xludf.DUMMYFUNCTION("""COMPUTED_VALUE"""),44020)</f>
        <v>44020</v>
      </c>
      <c r="L336" t="str">
        <f ca="1">IFERROR(__xludf.DUMMYFUNCTION("""COMPUTED_VALUE"""),"ОСНОВА")</f>
        <v>ОСНОВА</v>
      </c>
      <c r="M336" t="str">
        <f ca="1">IFERROR(__xludf.DUMMYFUNCTION("""COMPUTED_VALUE"""),"10.08.21 13-20")</f>
        <v>10.08.21 13-20</v>
      </c>
      <c r="N336" t="str">
        <f ca="1">IFERROR(__xludf.DUMMYFUNCTION("""COMPUTED_VALUE"""),"98 ОТОТ")</f>
        <v>98 ОТОТ</v>
      </c>
      <c r="O336">
        <f ca="1">IFERROR(__xludf.DUMMYFUNCTION("""COMPUTED_VALUE"""),49620)</f>
        <v>49620</v>
      </c>
      <c r="P336" t="str">
        <f ca="1">IFERROR(__xludf.DUMMYFUNCTION("""COMPUTED_VALUE"""),"ДЕКОНСКАЯ")</f>
        <v>ДЕКОНСКАЯ</v>
      </c>
      <c r="Q336">
        <f ca="1">IFERROR(__xludf.DUMMYFUNCTION("""COMPUTED_VALUE"""),32060)</f>
        <v>32060</v>
      </c>
      <c r="R336" t="str">
        <f ca="1">IFERROR(__xludf.DUMMYFUNCTION("""COMPUTED_VALUE"""),"ПОЧАЙНА")</f>
        <v>ПОЧАЙНА</v>
      </c>
      <c r="S336" t="str">
        <f ca="1">IFERROR(__xludf.DUMMYFUNCTION("""COMPUTED_VALUE"""),"04.08.21 11-20")</f>
        <v>04.08.21 11-20</v>
      </c>
      <c r="T336">
        <f ca="1">IFERROR(__xludf.DUMMYFUNCTION("""COMPUTED_VALUE"""),4456)</f>
        <v>4456</v>
      </c>
      <c r="U336" t="str">
        <f ca="1">IFERROR(__xludf.DUMMYFUNCTION("""COMPUTED_VALUE"""),"04.10.2021 ДР")</f>
        <v>04.10.2021 ДР</v>
      </c>
      <c r="AA336" t="str">
        <f ca="1">IFERROR(__xludf.DUMMYFUNCTION("""COMPUTED_VALUE"""),"11-217")</f>
        <v>11-217</v>
      </c>
      <c r="AB336" t="str">
        <f ca="1">IFERROR(__xludf.DUMMYFUNCTION("""COMPUTED_VALUE"""),"43 ЮЖН")</f>
        <v>43 ЮЖН</v>
      </c>
      <c r="AC336" t="str">
        <f ca="1">IFERROR(__xludf.DUMMYFUNCTION("""COMPUTED_VALUE"""),"44020 ОСНОВА")</f>
        <v>44020 ОСНОВА</v>
      </c>
      <c r="AD336" t="str">
        <f ca="1">IFERROR(__xludf.DUMMYFUNCTION("""COMPUTED_VALUE"""),"10.08.21 12-10")</f>
        <v>10.08.21 12-10</v>
      </c>
      <c r="AE336" t="str">
        <f ca="1">IFERROR(__xludf.DUMMYFUNCTION("""COMPUTED_VALUE"""),"537 НEИCПPAВНOCТЬ ЗAПOPA ДВEPИ")</f>
        <v>537 НEИCПPAВНOCТЬ ЗAПOPA ДВEPИ</v>
      </c>
      <c r="AF336" t="str">
        <f ca="1">IFERROR(__xludf.DUMMYFUNCTION("""COMPUTED_VALUE"""),"48 ДОН")</f>
        <v>48 ДОН</v>
      </c>
      <c r="AG336" t="str">
        <f ca="1">IFERROR(__xludf.DUMMYFUNCTION("""COMPUTED_VALUE"""),"49480 СОЛЬ")</f>
        <v>49480 СОЛЬ</v>
      </c>
      <c r="AH336" t="str">
        <f ca="1">IFERROR(__xludf.DUMMYFUNCTION("""COMPUTED_VALUE"""),"21.12.20 16-30")</f>
        <v>21.12.20 16-30</v>
      </c>
      <c r="AI336" s="21">
        <f ca="1">IFERROR(__xludf.DUMMYFUNCTION("""COMPUTED_VALUE"""),44420.3583449074)</f>
        <v>44420.358344907399</v>
      </c>
    </row>
    <row r="337" spans="1:35" ht="13" x14ac:dyDescent="0.15">
      <c r="A337">
        <f ca="1">IFERROR(__xludf.DUMMYFUNCTION("""COMPUTED_VALUE"""),1672)</f>
        <v>1672</v>
      </c>
      <c r="B337" t="str">
        <f ca="1">IFERROR(__xludf.DUMMYFUNCTION("""COMPUTED_VALUE"""),"ВИК")</f>
        <v>ВИК</v>
      </c>
      <c r="C337" t="str">
        <f ca="1">IFERROR(__xludf.DUMMYFUNCTION("""COMPUTED_VALUE"""),"ВИК")</f>
        <v>ВИК</v>
      </c>
      <c r="D337">
        <f ca="1">IFERROR(__xludf.DUMMYFUNCTION("""COMPUTED_VALUE"""),24210049)</f>
        <v>24210049</v>
      </c>
      <c r="E337" t="str">
        <f ca="1">IFERROR(__xludf.DUMMYFUNCTION("""COMPUTED_VALUE"""),"20 КРЫТЫЕ")</f>
        <v>20 КРЫТЫЕ</v>
      </c>
      <c r="F337">
        <f ca="1">IFERROR(__xludf.DUMMYFUNCTION("""COMPUTED_VALUE"""),42103)</f>
        <v>42103</v>
      </c>
      <c r="G337" t="str">
        <f ca="1">IFERROR(__xludf.DUMMYFUNCTION("""COMPUTED_VALUE"""),"ВАГОНЫ ЖД СВ")</f>
        <v>ВАГОНЫ ЖД СВ</v>
      </c>
      <c r="H337">
        <f ca="1">IFERROR(__xludf.DUMMYFUNCTION("""COMPUTED_VALUE"""),0)</f>
        <v>0</v>
      </c>
      <c r="I337">
        <f ca="1">IFERROR(__xludf.DUMMYFUNCTION("""COMPUTED_VALUE"""),4149)</f>
        <v>4149</v>
      </c>
      <c r="J337" t="str">
        <f ca="1">IFERROR(__xludf.DUMMYFUNCTION("""COMPUTED_VALUE"""),"4833 (49640-038-49460)  - БАХМУТ")</f>
        <v>4833 (49640-038-49460)  - БАХМУТ</v>
      </c>
      <c r="K337">
        <f ca="1">IFERROR(__xludf.DUMMYFUNCTION("""COMPUTED_VALUE"""),49620)</f>
        <v>49620</v>
      </c>
      <c r="L337" t="str">
        <f ca="1">IFERROR(__xludf.DUMMYFUNCTION("""COMPUTED_VALUE"""),"ДЕКОНСКАЯ")</f>
        <v>ДЕКОНСКАЯ</v>
      </c>
      <c r="M337" t="str">
        <f ca="1">IFERROR(__xludf.DUMMYFUNCTION("""COMPUTED_VALUE"""),"09.08.21 12-10")</f>
        <v>09.08.21 12-10</v>
      </c>
      <c r="N337" t="str">
        <f ca="1">IFERROR(__xludf.DUMMYFUNCTION("""COMPUTED_VALUE"""),"98 ОТОТ")</f>
        <v>98 ОТОТ</v>
      </c>
      <c r="O337">
        <f ca="1">IFERROR(__xludf.DUMMYFUNCTION("""COMPUTED_VALUE"""),49620)</f>
        <v>49620</v>
      </c>
      <c r="P337" t="str">
        <f ca="1">IFERROR(__xludf.DUMMYFUNCTION("""COMPUTED_VALUE"""),"ДЕКОНСКАЯ")</f>
        <v>ДЕКОНСКАЯ</v>
      </c>
      <c r="Q337">
        <f ca="1">IFERROR(__xludf.DUMMYFUNCTION("""COMPUTED_VALUE"""),32040)</f>
        <v>32040</v>
      </c>
      <c r="R337" t="str">
        <f ca="1">IFERROR(__xludf.DUMMYFUNCTION("""COMPUTED_VALUE"""),"ГРУШКИ")</f>
        <v>ГРУШКИ</v>
      </c>
      <c r="S337" t="str">
        <f ca="1">IFERROR(__xludf.DUMMYFUNCTION("""COMPUTED_VALUE"""),"03.08.21 08-00")</f>
        <v>03.08.21 08-00</v>
      </c>
      <c r="T337">
        <f ca="1">IFERROR(__xludf.DUMMYFUNCTION("""COMPUTED_VALUE"""),4456)</f>
        <v>4456</v>
      </c>
      <c r="U337" t="str">
        <f ca="1">IFERROR(__xludf.DUMMYFUNCTION("""COMPUTED_VALUE"""),"03.10.2021 ДР")</f>
        <v>03.10.2021 ДР</v>
      </c>
      <c r="AA337" t="str">
        <f ca="1">IFERROR(__xludf.DUMMYFUNCTION("""COMPUTED_VALUE"""),"11-217")</f>
        <v>11-217</v>
      </c>
      <c r="AB337" t="str">
        <f ca="1">IFERROR(__xludf.DUMMYFUNCTION("""COMPUTED_VALUE"""),"40 ОД")</f>
        <v>40 ОД</v>
      </c>
      <c r="AC337" t="str">
        <f ca="1">IFERROR(__xludf.DUMMYFUNCTION("""COMPUTED_VALUE"""),"42000 ИМ.Т.ШЕВЧЕНК")</f>
        <v>42000 ИМ.Т.ШЕВЧЕНК</v>
      </c>
      <c r="AD337" t="str">
        <f ca="1">IFERROR(__xludf.DUMMYFUNCTION("""COMPUTED_VALUE"""),"17.09.19 01-01")</f>
        <v>17.09.19 01-01</v>
      </c>
      <c r="AE337" t="str">
        <f ca="1">IFERROR(__xludf.DUMMYFUNCTION("""COMPUTED_VALUE"""),"570 ИCТEК КAЛЕНДАРНЫЙ CPOК ДEПOВCКОГО PEМOНТA")</f>
        <v>570 ИCТEК КAЛЕНДАРНЫЙ CPOК ДEПOВCКОГО PEМOНТA</v>
      </c>
      <c r="AF337" t="str">
        <f ca="1">IFERROR(__xludf.DUMMYFUNCTION("""COMPUTED_VALUE"""),"40 ОД")</f>
        <v>40 ОД</v>
      </c>
      <c r="AG337" t="str">
        <f ca="1">IFERROR(__xludf.DUMMYFUNCTION("""COMPUTED_VALUE"""),"42000 ИМ.Т.ШЕВЧЕНК")</f>
        <v>42000 ИМ.Т.ШЕВЧЕНК</v>
      </c>
      <c r="AH337" t="str">
        <f ca="1">IFERROR(__xludf.DUMMYFUNCTION("""COMPUTED_VALUE"""),"03.10.19 11-00")</f>
        <v>03.10.19 11-00</v>
      </c>
      <c r="AI337" s="21">
        <f ca="1">IFERROR(__xludf.DUMMYFUNCTION("""COMPUTED_VALUE"""),44420.3583449074)</f>
        <v>44420.358344907399</v>
      </c>
    </row>
    <row r="338" spans="1:35" ht="13" x14ac:dyDescent="0.15">
      <c r="A338">
        <f ca="1">IFERROR(__xludf.DUMMYFUNCTION("""COMPUTED_VALUE"""),1673)</f>
        <v>1673</v>
      </c>
      <c r="B338" t="str">
        <f ca="1">IFERROR(__xludf.DUMMYFUNCTION("""COMPUTED_VALUE"""),"ВИК")</f>
        <v>ВИК</v>
      </c>
      <c r="C338" t="str">
        <f ca="1">IFERROR(__xludf.DUMMYFUNCTION("""COMPUTED_VALUE"""),"ВИК")</f>
        <v>ВИК</v>
      </c>
      <c r="D338">
        <f ca="1">IFERROR(__xludf.DUMMYFUNCTION("""COMPUTED_VALUE"""),24210072)</f>
        <v>24210072</v>
      </c>
      <c r="E338" t="str">
        <f ca="1">IFERROR(__xludf.DUMMYFUNCTION("""COMPUTED_VALUE"""),"20 КРЫТЫЕ")</f>
        <v>20 КРЫТЫЕ</v>
      </c>
      <c r="F338">
        <f ca="1">IFERROR(__xludf.DUMMYFUNCTION("""COMPUTED_VALUE"""),42103)</f>
        <v>42103</v>
      </c>
      <c r="G338" t="str">
        <f ca="1">IFERROR(__xludf.DUMMYFUNCTION("""COMPUTED_VALUE"""),"ВАГОНЫ ЖД СВ")</f>
        <v>ВАГОНЫ ЖД СВ</v>
      </c>
      <c r="H338">
        <f ca="1">IFERROR(__xludf.DUMMYFUNCTION("""COMPUTED_VALUE"""),0)</f>
        <v>0</v>
      </c>
      <c r="I338">
        <f ca="1">IFERROR(__xludf.DUMMYFUNCTION("""COMPUTED_VALUE"""),4026)</f>
        <v>4026</v>
      </c>
      <c r="J338" t="str">
        <f ca="1">IFERROR(__xludf.DUMMYFUNCTION("""COMPUTED_VALUE"""),"3520 (48620-089-48630) ВОЛНОВАХА - ВЕЛИКО-АНАД")</f>
        <v>3520 (48620-089-48630) ВОЛНОВАХА - ВЕЛИКО-АНАД</v>
      </c>
      <c r="K338">
        <f ca="1">IFERROR(__xludf.DUMMYFUNCTION("""COMPUTED_VALUE"""),48630)</f>
        <v>48630</v>
      </c>
      <c r="L338" t="str">
        <f ca="1">IFERROR(__xludf.DUMMYFUNCTION("""COMPUTED_VALUE"""),"ВЕЛИКО-АНАД")</f>
        <v>ВЕЛИКО-АНАД</v>
      </c>
      <c r="M338" t="str">
        <f ca="1">IFERROR(__xludf.DUMMYFUNCTION("""COMPUTED_VALUE"""),"07.08.21 11-30")</f>
        <v>07.08.21 11-30</v>
      </c>
      <c r="N338" t="str">
        <f ca="1">IFERROR(__xludf.DUMMYFUNCTION("""COMPUTED_VALUE"""),"98 ОТОТ")</f>
        <v>98 ОТОТ</v>
      </c>
      <c r="O338">
        <f ca="1">IFERROR(__xludf.DUMMYFUNCTION("""COMPUTED_VALUE"""),48630)</f>
        <v>48630</v>
      </c>
      <c r="P338" t="str">
        <f ca="1">IFERROR(__xludf.DUMMYFUNCTION("""COMPUTED_VALUE"""),"ВЕЛИКО-АНАД")</f>
        <v>ВЕЛИКО-АНАД</v>
      </c>
      <c r="Q338">
        <f ca="1">IFERROR(__xludf.DUMMYFUNCTION("""COMPUTED_VALUE"""),32040)</f>
        <v>32040</v>
      </c>
      <c r="R338" t="str">
        <f ca="1">IFERROR(__xludf.DUMMYFUNCTION("""COMPUTED_VALUE"""),"ГРУШКИ")</f>
        <v>ГРУШКИ</v>
      </c>
      <c r="S338" t="str">
        <f ca="1">IFERROR(__xludf.DUMMYFUNCTION("""COMPUTED_VALUE"""),"28.07.21 10-15")</f>
        <v>28.07.21 10-15</v>
      </c>
      <c r="T338">
        <f ca="1">IFERROR(__xludf.DUMMYFUNCTION("""COMPUTED_VALUE"""),4456)</f>
        <v>4456</v>
      </c>
      <c r="U338" t="str">
        <f ca="1">IFERROR(__xludf.DUMMYFUNCTION("""COMPUTED_VALUE"""),"22.12.2022 ТР-1")</f>
        <v>22.12.2022 ТР-1</v>
      </c>
      <c r="AA338" t="str">
        <f ca="1">IFERROR(__xludf.DUMMYFUNCTION("""COMPUTED_VALUE"""),"11-217")</f>
        <v>11-217</v>
      </c>
      <c r="AB338" t="str">
        <f ca="1">IFERROR(__xludf.DUMMYFUNCTION("""COMPUTED_VALUE"""),"40 ОД")</f>
        <v>40 ОД</v>
      </c>
      <c r="AC338" t="str">
        <f ca="1">IFERROR(__xludf.DUMMYFUNCTION("""COMPUTED_VALUE"""),"41190 ПОМОШНАЯ")</f>
        <v>41190 ПОМОШНАЯ</v>
      </c>
      <c r="AD338" t="str">
        <f ca="1">IFERROR(__xludf.DUMMYFUNCTION("""COMPUTED_VALUE"""),"12.12.19 18-00")</f>
        <v>12.12.19 18-00</v>
      </c>
      <c r="AE338" t="str">
        <f ca="1">IFERROR(__xludf.DUMMYFUNCTION("""COMPUTED_VALUE"""),"570 ИCТEК КAЛЕНДАРНЫЙ CPOК ДEПOВCКОГО PEМOНТA")</f>
        <v>570 ИCТEК КAЛЕНДАРНЫЙ CPOК ДEПOВCКОГО PEМOНТA</v>
      </c>
      <c r="AF338" t="str">
        <f ca="1">IFERROR(__xludf.DUMMYFUNCTION("""COMPUTED_VALUE"""),"40 ОД")</f>
        <v>40 ОД</v>
      </c>
      <c r="AG338" t="str">
        <f ca="1">IFERROR(__xludf.DUMMYFUNCTION("""COMPUTED_VALUE"""),"41190 ПОМОШНАЯ")</f>
        <v>41190 ПОМОШНАЯ</v>
      </c>
      <c r="AH338" t="str">
        <f ca="1">IFERROR(__xludf.DUMMYFUNCTION("""COMPUTED_VALUE"""),"27.12.19 11-00")</f>
        <v>27.12.19 11-00</v>
      </c>
      <c r="AI338" s="21">
        <f ca="1">IFERROR(__xludf.DUMMYFUNCTION("""COMPUTED_VALUE"""),44420.3583449074)</f>
        <v>44420.358344907399</v>
      </c>
    </row>
    <row r="339" spans="1:35" ht="13" x14ac:dyDescent="0.15">
      <c r="A339">
        <f ca="1">IFERROR(__xludf.DUMMYFUNCTION("""COMPUTED_VALUE"""),1674)</f>
        <v>1674</v>
      </c>
      <c r="B339" t="str">
        <f ca="1">IFERROR(__xludf.DUMMYFUNCTION("""COMPUTED_VALUE"""),"ВИК")</f>
        <v>ВИК</v>
      </c>
      <c r="C339" t="str">
        <f ca="1">IFERROR(__xludf.DUMMYFUNCTION("""COMPUTED_VALUE"""),"ВИК")</f>
        <v>ВИК</v>
      </c>
      <c r="D339">
        <f ca="1">IFERROR(__xludf.DUMMYFUNCTION("""COMPUTED_VALUE"""),24210080)</f>
        <v>24210080</v>
      </c>
      <c r="E339" t="str">
        <f ca="1">IFERROR(__xludf.DUMMYFUNCTION("""COMPUTED_VALUE"""),"20 КРЫТЫЕ")</f>
        <v>20 КРЫТЫЕ</v>
      </c>
      <c r="F339">
        <f ca="1">IFERROR(__xludf.DUMMYFUNCTION("""COMPUTED_VALUE"""),42103)</f>
        <v>42103</v>
      </c>
      <c r="G339" t="str">
        <f ca="1">IFERROR(__xludf.DUMMYFUNCTION("""COMPUTED_VALUE"""),"ВАГОНЫ ЖД СВ")</f>
        <v>ВАГОНЫ ЖД СВ</v>
      </c>
      <c r="H339">
        <f ca="1">IFERROR(__xludf.DUMMYFUNCTION("""COMPUTED_VALUE"""),0)</f>
        <v>0</v>
      </c>
      <c r="I339">
        <f ca="1">IFERROR(__xludf.DUMMYFUNCTION("""COMPUTED_VALUE"""),4149)</f>
        <v>4149</v>
      </c>
      <c r="J339" t="str">
        <f ca="1">IFERROR(__xludf.DUMMYFUNCTION("""COMPUTED_VALUE"""),"3801 (38470-070-38250) КОРОЛЕВО - БАТЕВО")</f>
        <v>3801 (38470-070-38250) КОРОЛЕВО - БАТЕВО</v>
      </c>
      <c r="K339">
        <f ca="1">IFERROR(__xludf.DUMMYFUNCTION("""COMPUTED_VALUE"""),38250)</f>
        <v>38250</v>
      </c>
      <c r="L339" t="str">
        <f ca="1">IFERROR(__xludf.DUMMYFUNCTION("""COMPUTED_VALUE"""),"БАТЕВО")</f>
        <v>БАТЕВО</v>
      </c>
      <c r="M339" t="str">
        <f ca="1">IFERROR(__xludf.DUMMYFUNCTION("""COMPUTED_VALUE"""),"12.08.21 05-38")</f>
        <v>12.08.21 05-38</v>
      </c>
      <c r="N339" t="str">
        <f ca="1">IFERROR(__xludf.DUMMYFUNCTION("""COMPUTED_VALUE"""),"04 РАСФ")</f>
        <v>04 РАСФ</v>
      </c>
      <c r="O339">
        <f ca="1">IFERROR(__xludf.DUMMYFUNCTION("""COMPUTED_VALUE"""),49620)</f>
        <v>49620</v>
      </c>
      <c r="P339" t="str">
        <f ca="1">IFERROR(__xludf.DUMMYFUNCTION("""COMPUTED_VALUE"""),"ДЕКОНСКАЯ")</f>
        <v>ДЕКОНСКАЯ</v>
      </c>
      <c r="Q339">
        <f ca="1">IFERROR(__xludf.DUMMYFUNCTION("""COMPUTED_VALUE"""),38440)</f>
        <v>38440</v>
      </c>
      <c r="R339" t="str">
        <f ca="1">IFERROR(__xludf.DUMMYFUNCTION("""COMPUTED_VALUE"""),"ВИНОГР-ЗАКАР")</f>
        <v>ВИНОГР-ЗАКАР</v>
      </c>
      <c r="S339" t="str">
        <f ca="1">IFERROR(__xludf.DUMMYFUNCTION("""COMPUTED_VALUE"""),"09.08.21 12-20")</f>
        <v>09.08.21 12-20</v>
      </c>
      <c r="T339">
        <f ca="1">IFERROR(__xludf.DUMMYFUNCTION("""COMPUTED_VALUE"""),4456)</f>
        <v>4456</v>
      </c>
      <c r="U339" t="str">
        <f ca="1">IFERROR(__xludf.DUMMYFUNCTION("""COMPUTED_VALUE"""),"06.08.2023 ДР")</f>
        <v>06.08.2023 ДР</v>
      </c>
      <c r="AA339" t="str">
        <f ca="1">IFERROR(__xludf.DUMMYFUNCTION("""COMPUTED_VALUE"""),"11-217")</f>
        <v>11-217</v>
      </c>
      <c r="AB339" t="str">
        <f ca="1">IFERROR(__xludf.DUMMYFUNCTION("""COMPUTED_VALUE"""),"35 ЛЬВ")</f>
        <v>35 ЛЬВ</v>
      </c>
      <c r="AC339" t="str">
        <f ca="1">IFERROR(__xludf.DUMMYFUNCTION("""COMPUTED_VALUE"""),"35250 ИЗОВ")</f>
        <v>35250 ИЗОВ</v>
      </c>
      <c r="AD339" t="str">
        <f ca="1">IFERROR(__xludf.DUMMYFUNCTION("""COMPUTED_VALUE"""),"20.04.21 15-01")</f>
        <v>20.04.21 15-01</v>
      </c>
      <c r="AE339" t="str">
        <f ca="1">IFERROR(__xludf.DUMMYFUNCTION("""COMPUTED_VALUE"""),"405 НEИCПPAВНOCТЬ КOНЦEВOГO КPAНA")</f>
        <v>405 НEИCПPAВНOCТЬ КOНЦEВOГO КPAНA</v>
      </c>
      <c r="AF339" t="str">
        <f ca="1">IFERROR(__xludf.DUMMYFUNCTION("""COMPUTED_VALUE"""),"35 ЛЬВ")</f>
        <v>35 ЛЬВ</v>
      </c>
      <c r="AG339" t="str">
        <f ca="1">IFERROR(__xludf.DUMMYFUNCTION("""COMPUTED_VALUE"""),"35250 ИЗОВ")</f>
        <v>35250 ИЗОВ</v>
      </c>
      <c r="AH339" t="str">
        <f ca="1">IFERROR(__xludf.DUMMYFUNCTION("""COMPUTED_VALUE"""),"22.04.21 15-10")</f>
        <v>22.04.21 15-10</v>
      </c>
      <c r="AI339" s="21">
        <f ca="1">IFERROR(__xludf.DUMMYFUNCTION("""COMPUTED_VALUE"""),44420.3583449074)</f>
        <v>44420.358344907399</v>
      </c>
    </row>
    <row r="340" spans="1:35" ht="13" x14ac:dyDescent="0.15">
      <c r="A340">
        <f ca="1">IFERROR(__xludf.DUMMYFUNCTION("""COMPUTED_VALUE"""),1675)</f>
        <v>1675</v>
      </c>
      <c r="B340" t="str">
        <f ca="1">IFERROR(__xludf.DUMMYFUNCTION("""COMPUTED_VALUE"""),"ВИК")</f>
        <v>ВИК</v>
      </c>
      <c r="C340" t="str">
        <f ca="1">IFERROR(__xludf.DUMMYFUNCTION("""COMPUTED_VALUE"""),"ВИК")</f>
        <v>ВИК</v>
      </c>
      <c r="D340">
        <f ca="1">IFERROR(__xludf.DUMMYFUNCTION("""COMPUTED_VALUE"""),24210130)</f>
        <v>24210130</v>
      </c>
      <c r="E340" t="str">
        <f ca="1">IFERROR(__xludf.DUMMYFUNCTION("""COMPUTED_VALUE"""),"20 КРЫТЫЕ")</f>
        <v>20 КРЫТЫЕ</v>
      </c>
      <c r="F340">
        <f ca="1">IFERROR(__xludf.DUMMYFUNCTION("""COMPUTED_VALUE"""),69214)</f>
        <v>69214</v>
      </c>
      <c r="G340" t="str">
        <f ca="1">IFERROR(__xludf.DUMMYFUNCTION("""COMPUTED_VALUE"""),"МАКУЛАТУРА")</f>
        <v>МАКУЛАТУРА</v>
      </c>
      <c r="H340">
        <f ca="1">IFERROR(__xludf.DUMMYFUNCTION("""COMPUTED_VALUE"""),34)</f>
        <v>34</v>
      </c>
      <c r="I340">
        <f ca="1">IFERROR(__xludf.DUMMYFUNCTION("""COMPUTED_VALUE"""),4456)</f>
        <v>4456</v>
      </c>
      <c r="J340" t="str">
        <f ca="1">IFERROR(__xludf.DUMMYFUNCTION("""COMPUTED_VALUE"""),"4837 (35900-014-35780) КИВЕРЦЫ - ЛУЦК")</f>
        <v>4837 (35900-014-35780) КИВЕРЦЫ - ЛУЦК</v>
      </c>
      <c r="K340">
        <f ca="1">IFERROR(__xludf.DUMMYFUNCTION("""COMPUTED_VALUE"""),35780)</f>
        <v>35780</v>
      </c>
      <c r="L340" t="str">
        <f ca="1">IFERROR(__xludf.DUMMYFUNCTION("""COMPUTED_VALUE"""),"ЛУЦК")</f>
        <v>ЛУЦК</v>
      </c>
      <c r="M340" t="str">
        <f ca="1">IFERROR(__xludf.DUMMYFUNCTION("""COMPUTED_VALUE"""),"11.08.21 17-40")</f>
        <v>11.08.21 17-40</v>
      </c>
      <c r="N340" t="str">
        <f ca="1">IFERROR(__xludf.DUMMYFUNCTION("""COMPUTED_VALUE"""),"92 ЗДРЖ")</f>
        <v>92 ЗДРЖ</v>
      </c>
      <c r="O340">
        <f ca="1">IFERROR(__xludf.DUMMYFUNCTION("""COMPUTED_VALUE"""),35780)</f>
        <v>35780</v>
      </c>
      <c r="P340" t="str">
        <f ca="1">IFERROR(__xludf.DUMMYFUNCTION("""COMPUTED_VALUE"""),"ЛУЦК")</f>
        <v>ЛУЦК</v>
      </c>
      <c r="Q340">
        <f ca="1">IFERROR(__xludf.DUMMYFUNCTION("""COMPUTED_VALUE"""),35260)</f>
        <v>35260</v>
      </c>
      <c r="R340" t="str">
        <f ca="1">IFERROR(__xludf.DUMMYFUNCTION("""COMPUTED_VALUE"""),"ИЗОВ-Э-ПКП")</f>
        <v>ИЗОВ-Э-ПКП</v>
      </c>
      <c r="S340" t="str">
        <f ca="1">IFERROR(__xludf.DUMMYFUNCTION("""COMPUTED_VALUE"""),"08.08.21 16-50")</f>
        <v>08.08.21 16-50</v>
      </c>
      <c r="U340" t="str">
        <f ca="1">IFERROR(__xludf.DUMMYFUNCTION("""COMPUTED_VALUE"""),"24.09.2021 ДР")</f>
        <v>24.09.2021 ДР</v>
      </c>
      <c r="AA340" t="str">
        <f ca="1">IFERROR(__xludf.DUMMYFUNCTION("""COMPUTED_VALUE"""),"11-217")</f>
        <v>11-217</v>
      </c>
      <c r="AB340" t="str">
        <f ca="1">IFERROR(__xludf.DUMMYFUNCTION("""COMPUTED_VALUE"""),"40 ОД")</f>
        <v>40 ОД</v>
      </c>
      <c r="AC340" t="str">
        <f ca="1">IFERROR(__xludf.DUMMYFUNCTION("""COMPUTED_VALUE"""),"42000 ИМ.Т.ШЕВЧЕНК")</f>
        <v>42000 ИМ.Т.ШЕВЧЕНК</v>
      </c>
      <c r="AD340" t="str">
        <f ca="1">IFERROR(__xludf.DUMMYFUNCTION("""COMPUTED_VALUE"""),"17.09.19 01-01")</f>
        <v>17.09.19 01-01</v>
      </c>
      <c r="AE340" t="str">
        <f ca="1">IFERROR(__xludf.DUMMYFUNCTION("""COMPUTED_VALUE"""),"570 ИCТEК КAЛЕНДАРНЫЙ CPOК ДEПOВCКОГО PEМOНТA")</f>
        <v>570 ИCТEК КAЛЕНДАРНЫЙ CPOК ДEПOВCКОГО PEМOНТA</v>
      </c>
      <c r="AF340" t="str">
        <f ca="1">IFERROR(__xludf.DUMMYFUNCTION("""COMPUTED_VALUE"""),"40 ОД")</f>
        <v>40 ОД</v>
      </c>
      <c r="AG340" t="str">
        <f ca="1">IFERROR(__xludf.DUMMYFUNCTION("""COMPUTED_VALUE"""),"42000 ИМ.Т.ШЕВЧЕНК")</f>
        <v>42000 ИМ.Т.ШЕВЧЕНК</v>
      </c>
      <c r="AH340" t="str">
        <f ca="1">IFERROR(__xludf.DUMMYFUNCTION("""COMPUTED_VALUE"""),"24.09.19 18-30")</f>
        <v>24.09.19 18-30</v>
      </c>
      <c r="AI340" s="21">
        <f ca="1">IFERROR(__xludf.DUMMYFUNCTION("""COMPUTED_VALUE"""),44420.3583449074)</f>
        <v>44420.358344907399</v>
      </c>
    </row>
    <row r="341" spans="1:35" ht="13" x14ac:dyDescent="0.15">
      <c r="A341">
        <f ca="1">IFERROR(__xludf.DUMMYFUNCTION("""COMPUTED_VALUE"""),1676)</f>
        <v>1676</v>
      </c>
      <c r="B341" t="str">
        <f ca="1">IFERROR(__xludf.DUMMYFUNCTION("""COMPUTED_VALUE"""),"ВИК")</f>
        <v>ВИК</v>
      </c>
      <c r="C341" t="str">
        <f ca="1">IFERROR(__xludf.DUMMYFUNCTION("""COMPUTED_VALUE"""),"ВИК")</f>
        <v>ВИК</v>
      </c>
      <c r="D341">
        <f ca="1">IFERROR(__xludf.DUMMYFUNCTION("""COMPUTED_VALUE"""),24210148)</f>
        <v>24210148</v>
      </c>
      <c r="E341" t="str">
        <f ca="1">IFERROR(__xludf.DUMMYFUNCTION("""COMPUTED_VALUE"""),"20 КРЫТЫЕ")</f>
        <v>20 КРЫТЫЕ</v>
      </c>
      <c r="F341">
        <f ca="1">IFERROR(__xludf.DUMMYFUNCTION("""COMPUTED_VALUE"""),23304)</f>
        <v>23304</v>
      </c>
      <c r="G341" t="str">
        <f ca="1">IFERROR(__xludf.DUMMYFUNCTION("""COMPUTED_VALUE"""),"ГИПС ПР")</f>
        <v>ГИПС ПР</v>
      </c>
      <c r="H341">
        <f ca="1">IFERROR(__xludf.DUMMYFUNCTION("""COMPUTED_VALUE"""),66)</f>
        <v>66</v>
      </c>
      <c r="I341">
        <f ca="1">IFERROR(__xludf.DUMMYFUNCTION("""COMPUTED_VALUE"""),1222)</f>
        <v>1222</v>
      </c>
      <c r="J341" t="str">
        <f ca="1">IFERROR(__xludf.DUMMYFUNCTION("""COMPUTED_VALUE"""),"2001 (41000-558-34270) ЗНАМЕНКА - КАЗАТИН I")</f>
        <v>2001 (41000-558-34270) ЗНАМЕНКА - КАЗАТИН I</v>
      </c>
      <c r="K341">
        <f ca="1">IFERROR(__xludf.DUMMYFUNCTION("""COMPUTED_VALUE"""),41000)</f>
        <v>41000</v>
      </c>
      <c r="L341" t="str">
        <f ca="1">IFERROR(__xludf.DUMMYFUNCTION("""COMPUTED_VALUE"""),"ЗНАМЕНКА")</f>
        <v>ЗНАМЕНКА</v>
      </c>
      <c r="M341" t="str">
        <f ca="1">IFERROR(__xludf.DUMMYFUNCTION("""COMPUTED_VALUE"""),"12.08.21 07-00")</f>
        <v>12.08.21 07-00</v>
      </c>
      <c r="N341" t="str">
        <f ca="1">IFERROR(__xludf.DUMMYFUNCTION("""COMPUTED_VALUE"""),"05 ФОРМ")</f>
        <v>05 ФОРМ</v>
      </c>
      <c r="O341">
        <f ca="1">IFERROR(__xludf.DUMMYFUNCTION("""COMPUTED_VALUE"""),35660)</f>
        <v>35660</v>
      </c>
      <c r="P341" t="str">
        <f ca="1">IFERROR(__xludf.DUMMYFUNCTION("""COMPUTED_VALUE"""),"РОВНО")</f>
        <v>РОВНО</v>
      </c>
      <c r="Q341">
        <f ca="1">IFERROR(__xludf.DUMMYFUNCTION("""COMPUTED_VALUE"""),49620)</f>
        <v>49620</v>
      </c>
      <c r="R341" t="str">
        <f ca="1">IFERROR(__xludf.DUMMYFUNCTION("""COMPUTED_VALUE"""),"ДЕКОНСКАЯ")</f>
        <v>ДЕКОНСКАЯ</v>
      </c>
      <c r="S341" t="str">
        <f ca="1">IFERROR(__xludf.DUMMYFUNCTION("""COMPUTED_VALUE"""),"09.08.21 11-40")</f>
        <v>09.08.21 11-40</v>
      </c>
      <c r="T341">
        <f ca="1">IFERROR(__xludf.DUMMYFUNCTION("""COMPUTED_VALUE"""),4149)</f>
        <v>4149</v>
      </c>
      <c r="U341" t="str">
        <f ca="1">IFERROR(__xludf.DUMMYFUNCTION("""COMPUTED_VALUE"""),"26.09.2021 КР")</f>
        <v>26.09.2021 КР</v>
      </c>
      <c r="AA341" t="str">
        <f ca="1">IFERROR(__xludf.DUMMYFUNCTION("""COMPUTED_VALUE"""),"11-217")</f>
        <v>11-217</v>
      </c>
      <c r="AB341" t="str">
        <f ca="1">IFERROR(__xludf.DUMMYFUNCTION("""COMPUTED_VALUE"""),"40 ОД")</f>
        <v>40 ОД</v>
      </c>
      <c r="AC341" t="str">
        <f ca="1">IFERROR(__xludf.DUMMYFUNCTION("""COMPUTED_VALUE"""),"42000 ИМ.Т.ШЕВЧЕНК")</f>
        <v>42000 ИМ.Т.ШЕВЧЕНК</v>
      </c>
      <c r="AD341" t="str">
        <f ca="1">IFERROR(__xludf.DUMMYFUNCTION("""COMPUTED_VALUE"""),"17.09.19 01-01")</f>
        <v>17.09.19 01-01</v>
      </c>
      <c r="AE341" t="str">
        <f ca="1">IFERROR(__xludf.DUMMYFUNCTION("""COMPUTED_VALUE"""),"570 ИCТEК КAЛЕНДАРНЫЙ CPOК ДEПOВCКОГО PEМOНТA")</f>
        <v>570 ИCТEК КAЛЕНДАРНЫЙ CPOК ДEПOВCКОГО PEМOНТA</v>
      </c>
      <c r="AF341" t="str">
        <f ca="1">IFERROR(__xludf.DUMMYFUNCTION("""COMPUTED_VALUE"""),"40 ОД")</f>
        <v>40 ОД</v>
      </c>
      <c r="AG341" t="str">
        <f ca="1">IFERROR(__xludf.DUMMYFUNCTION("""COMPUTED_VALUE"""),"42000 ИМ.Т.ШЕВЧЕНК")</f>
        <v>42000 ИМ.Т.ШЕВЧЕНК</v>
      </c>
      <c r="AH341" t="str">
        <f ca="1">IFERROR(__xludf.DUMMYFUNCTION("""COMPUTED_VALUE"""),"26.09.19 14-20")</f>
        <v>26.09.19 14-20</v>
      </c>
      <c r="AI341" s="21">
        <f ca="1">IFERROR(__xludf.DUMMYFUNCTION("""COMPUTED_VALUE"""),44420.3583449074)</f>
        <v>44420.358344907399</v>
      </c>
    </row>
    <row r="342" spans="1:35" ht="13" x14ac:dyDescent="0.15">
      <c r="A342">
        <f ca="1">IFERROR(__xludf.DUMMYFUNCTION("""COMPUTED_VALUE"""),1677)</f>
        <v>1677</v>
      </c>
      <c r="B342" t="str">
        <f ca="1">IFERROR(__xludf.DUMMYFUNCTION("""COMPUTED_VALUE"""),"ВИК")</f>
        <v>ВИК</v>
      </c>
      <c r="C342" t="str">
        <f ca="1">IFERROR(__xludf.DUMMYFUNCTION("""COMPUTED_VALUE"""),"ВИК")</f>
        <v>ВИК</v>
      </c>
      <c r="D342">
        <f ca="1">IFERROR(__xludf.DUMMYFUNCTION("""COMPUTED_VALUE"""),24210155)</f>
        <v>24210155</v>
      </c>
      <c r="E342" t="str">
        <f ca="1">IFERROR(__xludf.DUMMYFUNCTION("""COMPUTED_VALUE"""),"20 КРЫТЫЕ")</f>
        <v>20 КРЫТЫЕ</v>
      </c>
      <c r="F342">
        <f ca="1">IFERROR(__xludf.DUMMYFUNCTION("""COMPUTED_VALUE"""),42103)</f>
        <v>42103</v>
      </c>
      <c r="G342" t="str">
        <f ca="1">IFERROR(__xludf.DUMMYFUNCTION("""COMPUTED_VALUE"""),"ВАГОНЫ ЖД СВ")</f>
        <v>ВАГОНЫ ЖД СВ</v>
      </c>
      <c r="H342">
        <f ca="1">IFERROR(__xludf.DUMMYFUNCTION("""COMPUTED_VALUE"""),0)</f>
        <v>0</v>
      </c>
      <c r="I342">
        <f ca="1">IFERROR(__xludf.DUMMYFUNCTION("""COMPUTED_VALUE"""),4149)</f>
        <v>4149</v>
      </c>
      <c r="J342" t="str">
        <f ca="1">IFERROR(__xludf.DUMMYFUNCTION("""COMPUTED_VALUE"""),"2715 (32000-537-44020) ДАРНИЦА - ОСНОВА")</f>
        <v>2715 (32000-537-44020) ДАРНИЦА - ОСНОВА</v>
      </c>
      <c r="K342">
        <f ca="1">IFERROR(__xludf.DUMMYFUNCTION("""COMPUTED_VALUE"""),44020)</f>
        <v>44020</v>
      </c>
      <c r="L342" t="str">
        <f ca="1">IFERROR(__xludf.DUMMYFUNCTION("""COMPUTED_VALUE"""),"ОСНОВА")</f>
        <v>ОСНОВА</v>
      </c>
      <c r="M342" t="str">
        <f ca="1">IFERROR(__xludf.DUMMYFUNCTION("""COMPUTED_VALUE"""),"12.08.21 01-11")</f>
        <v>12.08.21 01-11</v>
      </c>
      <c r="N342" t="str">
        <f ca="1">IFERROR(__xludf.DUMMYFUNCTION("""COMPUTED_VALUE"""),"04 РАСФ")</f>
        <v>04 РАСФ</v>
      </c>
      <c r="O342">
        <f ca="1">IFERROR(__xludf.DUMMYFUNCTION("""COMPUTED_VALUE"""),49620)</f>
        <v>49620</v>
      </c>
      <c r="P342" t="str">
        <f ca="1">IFERROR(__xludf.DUMMYFUNCTION("""COMPUTED_VALUE"""),"ДЕКОНСКАЯ")</f>
        <v>ДЕКОНСКАЯ</v>
      </c>
      <c r="Q342">
        <f ca="1">IFERROR(__xludf.DUMMYFUNCTION("""COMPUTED_VALUE"""),32040)</f>
        <v>32040</v>
      </c>
      <c r="R342" t="str">
        <f ca="1">IFERROR(__xludf.DUMMYFUNCTION("""COMPUTED_VALUE"""),"ГРУШКИ")</f>
        <v>ГРУШКИ</v>
      </c>
      <c r="S342" t="str">
        <f ca="1">IFERROR(__xludf.DUMMYFUNCTION("""COMPUTED_VALUE"""),"06.08.21 08-00")</f>
        <v>06.08.21 08-00</v>
      </c>
      <c r="T342">
        <f ca="1">IFERROR(__xludf.DUMMYFUNCTION("""COMPUTED_VALUE"""),4456)</f>
        <v>4456</v>
      </c>
      <c r="U342" t="str">
        <f ca="1">IFERROR(__xludf.DUMMYFUNCTION("""COMPUTED_VALUE"""),"02.05.2022 ДР")</f>
        <v>02.05.2022 ДР</v>
      </c>
      <c r="AA342" t="str">
        <f ca="1">IFERROR(__xludf.DUMMYFUNCTION("""COMPUTED_VALUE"""),"11-217")</f>
        <v>11-217</v>
      </c>
      <c r="AB342" t="str">
        <f ca="1">IFERROR(__xludf.DUMMYFUNCTION("""COMPUTED_VALUE"""),"35 ЛЬВ")</f>
        <v>35 ЛЬВ</v>
      </c>
      <c r="AC342" t="str">
        <f ca="1">IFERROR(__xludf.DUMMYFUNCTION("""COMPUTED_VALUE"""),"35400 КОВЕЛЬ")</f>
        <v>35400 КОВЕЛЬ</v>
      </c>
      <c r="AD342" t="str">
        <f ca="1">IFERROR(__xludf.DUMMYFUNCTION("""COMPUTED_VALUE"""),"20.06.20 13-58")</f>
        <v>20.06.20 13-58</v>
      </c>
      <c r="AE342" t="str">
        <f ca="1">IFERROR(__xludf.DUMMYFUNCTION("""COMPUTED_VALUE"""),"405 НEИCПPAВНOCТЬ КOНЦEВOГO КPAНA")</f>
        <v>405 НEИCПPAВНOCТЬ КOНЦEВOГO КPAНA</v>
      </c>
      <c r="AF342" t="str">
        <f ca="1">IFERROR(__xludf.DUMMYFUNCTION("""COMPUTED_VALUE"""),"35 ЛЬВ")</f>
        <v>35 ЛЬВ</v>
      </c>
      <c r="AG342" t="str">
        <f ca="1">IFERROR(__xludf.DUMMYFUNCTION("""COMPUTED_VALUE"""),"35400 КОВЕЛЬ")</f>
        <v>35400 КОВЕЛЬ</v>
      </c>
      <c r="AH342" t="str">
        <f ca="1">IFERROR(__xludf.DUMMYFUNCTION("""COMPUTED_VALUE"""),"02.07.20 15-30")</f>
        <v>02.07.20 15-30</v>
      </c>
      <c r="AI342" s="21">
        <f ca="1">IFERROR(__xludf.DUMMYFUNCTION("""COMPUTED_VALUE"""),44420.3583449074)</f>
        <v>44420.358344907399</v>
      </c>
    </row>
    <row r="343" spans="1:35" ht="13" x14ac:dyDescent="0.15">
      <c r="A343">
        <f ca="1">IFERROR(__xludf.DUMMYFUNCTION("""COMPUTED_VALUE"""),1678)</f>
        <v>1678</v>
      </c>
      <c r="B343" t="str">
        <f ca="1">IFERROR(__xludf.DUMMYFUNCTION("""COMPUTED_VALUE"""),"ВИК")</f>
        <v>ВИК</v>
      </c>
      <c r="C343" t="str">
        <f ca="1">IFERROR(__xludf.DUMMYFUNCTION("""COMPUTED_VALUE"""),"ВИК")</f>
        <v>ВИК</v>
      </c>
      <c r="D343">
        <f ca="1">IFERROR(__xludf.DUMMYFUNCTION("""COMPUTED_VALUE"""),24210213)</f>
        <v>24210213</v>
      </c>
      <c r="E343" t="str">
        <f ca="1">IFERROR(__xludf.DUMMYFUNCTION("""COMPUTED_VALUE"""),"20 КРЫТЫЕ")</f>
        <v>20 КРЫТЫЕ</v>
      </c>
      <c r="F343">
        <f ca="1">IFERROR(__xludf.DUMMYFUNCTION("""COMPUTED_VALUE"""),23304)</f>
        <v>23304</v>
      </c>
      <c r="G343" t="str">
        <f ca="1">IFERROR(__xludf.DUMMYFUNCTION("""COMPUTED_VALUE"""),"ГИПС ПР")</f>
        <v>ГИПС ПР</v>
      </c>
      <c r="H343">
        <f ca="1">IFERROR(__xludf.DUMMYFUNCTION("""COMPUTED_VALUE"""),68)</f>
        <v>68</v>
      </c>
      <c r="I343">
        <f ca="1">IFERROR(__xludf.DUMMYFUNCTION("""COMPUTED_VALUE"""),3314)</f>
        <v>3314</v>
      </c>
      <c r="J343" t="str">
        <f ca="1">IFERROR(__xludf.DUMMYFUNCTION("""COMPUTED_VALUE"""),"2223 (44020-103-37040) ОСНОВА - КЛЕПАРОВ")</f>
        <v>2223 (44020-103-37040) ОСНОВА - КЛЕПАРОВ</v>
      </c>
      <c r="K343">
        <f ca="1">IFERROR(__xludf.DUMMYFUNCTION("""COMPUTED_VALUE"""),37040)</f>
        <v>37040</v>
      </c>
      <c r="L343" t="str">
        <f ca="1">IFERROR(__xludf.DUMMYFUNCTION("""COMPUTED_VALUE"""),"КЛЕПАРОВ")</f>
        <v>КЛЕПАРОВ</v>
      </c>
      <c r="M343" t="str">
        <f ca="1">IFERROR(__xludf.DUMMYFUNCTION("""COMPUTED_VALUE"""),"12.08.21 06-19")</f>
        <v>12.08.21 06-19</v>
      </c>
      <c r="N343" t="str">
        <f ca="1">IFERROR(__xludf.DUMMYFUNCTION("""COMPUTED_VALUE"""),"04 РАСФ")</f>
        <v>04 РАСФ</v>
      </c>
      <c r="O343">
        <f ca="1">IFERROR(__xludf.DUMMYFUNCTION("""COMPUTED_VALUE"""),38840)</f>
        <v>38840</v>
      </c>
      <c r="P343" t="str">
        <f ca="1">IFERROR(__xludf.DUMMYFUNCTION("""COMPUTED_VALUE"""),"ИВАНО-ФРАНК")</f>
        <v>ИВАНО-ФРАНК</v>
      </c>
      <c r="Q343">
        <f ca="1">IFERROR(__xludf.DUMMYFUNCTION("""COMPUTED_VALUE"""),49620)</f>
        <v>49620</v>
      </c>
      <c r="R343" t="str">
        <f ca="1">IFERROR(__xludf.DUMMYFUNCTION("""COMPUTED_VALUE"""),"ДЕКОНСКАЯ")</f>
        <v>ДЕКОНСКАЯ</v>
      </c>
      <c r="S343" t="str">
        <f ca="1">IFERROR(__xludf.DUMMYFUNCTION("""COMPUTED_VALUE"""),"06.08.21 09-00")</f>
        <v>06.08.21 09-00</v>
      </c>
      <c r="T343">
        <f ca="1">IFERROR(__xludf.DUMMYFUNCTION("""COMPUTED_VALUE"""),4149)</f>
        <v>4149</v>
      </c>
      <c r="U343" t="str">
        <f ca="1">IFERROR(__xludf.DUMMYFUNCTION("""COMPUTED_VALUE"""),"25.09.2021 КР")</f>
        <v>25.09.2021 КР</v>
      </c>
      <c r="AA343" t="str">
        <f ca="1">IFERROR(__xludf.DUMMYFUNCTION("""COMPUTED_VALUE"""),"11-217")</f>
        <v>11-217</v>
      </c>
      <c r="AB343" t="str">
        <f ca="1">IFERROR(__xludf.DUMMYFUNCTION("""COMPUTED_VALUE"""),"40 ОД")</f>
        <v>40 ОД</v>
      </c>
      <c r="AC343" t="str">
        <f ca="1">IFERROR(__xludf.DUMMYFUNCTION("""COMPUTED_VALUE"""),"42000 ИМ.Т.ШЕВЧЕНК")</f>
        <v>42000 ИМ.Т.ШЕВЧЕНК</v>
      </c>
      <c r="AD343" t="str">
        <f ca="1">IFERROR(__xludf.DUMMYFUNCTION("""COMPUTED_VALUE"""),"17.09.19 01-01")</f>
        <v>17.09.19 01-01</v>
      </c>
      <c r="AE343" t="str">
        <f ca="1">IFERROR(__xludf.DUMMYFUNCTION("""COMPUTED_VALUE"""),"570 ИCТEК КAЛЕНДАРНЫЙ CPOК ДEПOВCКОГО PEМOНТA")</f>
        <v>570 ИCТEК КAЛЕНДАРНЫЙ CPOК ДEПOВCКОГО PEМOНТA</v>
      </c>
      <c r="AF343" t="str">
        <f ca="1">IFERROR(__xludf.DUMMYFUNCTION("""COMPUTED_VALUE"""),"40 ОД")</f>
        <v>40 ОД</v>
      </c>
      <c r="AG343" t="str">
        <f ca="1">IFERROR(__xludf.DUMMYFUNCTION("""COMPUTED_VALUE"""),"42000 ИМ.Т.ШЕВЧЕНК")</f>
        <v>42000 ИМ.Т.ШЕВЧЕНК</v>
      </c>
      <c r="AH343" t="str">
        <f ca="1">IFERROR(__xludf.DUMMYFUNCTION("""COMPUTED_VALUE"""),"25.09.19 15-00")</f>
        <v>25.09.19 15-00</v>
      </c>
      <c r="AI343" s="21">
        <f ca="1">IFERROR(__xludf.DUMMYFUNCTION("""COMPUTED_VALUE"""),44420.3583449074)</f>
        <v>44420.358344907399</v>
      </c>
    </row>
    <row r="344" spans="1:35" ht="13" x14ac:dyDescent="0.15">
      <c r="A344">
        <f ca="1">IFERROR(__xludf.DUMMYFUNCTION("""COMPUTED_VALUE"""),1679)</f>
        <v>1679</v>
      </c>
      <c r="B344" t="str">
        <f ca="1">IFERROR(__xludf.DUMMYFUNCTION("""COMPUTED_VALUE"""),"ВИК")</f>
        <v>ВИК</v>
      </c>
      <c r="C344" t="str">
        <f ca="1">IFERROR(__xludf.DUMMYFUNCTION("""COMPUTED_VALUE"""),"ВИК")</f>
        <v>ВИК</v>
      </c>
      <c r="D344">
        <f ca="1">IFERROR(__xludf.DUMMYFUNCTION("""COMPUTED_VALUE"""),24210262)</f>
        <v>24210262</v>
      </c>
      <c r="E344" t="str">
        <f ca="1">IFERROR(__xludf.DUMMYFUNCTION("""COMPUTED_VALUE"""),"20 КРЫТЫЕ")</f>
        <v>20 КРЫТЫЕ</v>
      </c>
      <c r="F344">
        <f ca="1">IFERROR(__xludf.DUMMYFUNCTION("""COMPUTED_VALUE"""),54222)</f>
        <v>54222</v>
      </c>
      <c r="G344" t="str">
        <f ca="1">IFERROR(__xludf.DUMMYFUNCTION("""COMPUTED_VALUE"""),"ШРОТ КОРМ ПР")</f>
        <v>ШРОТ КОРМ ПР</v>
      </c>
      <c r="H344">
        <f ca="1">IFERROR(__xludf.DUMMYFUNCTION("""COMPUTED_VALUE"""),68)</f>
        <v>68</v>
      </c>
      <c r="I344">
        <f ca="1">IFERROR(__xludf.DUMMYFUNCTION("""COMPUTED_VALUE"""),1930)</f>
        <v>1930</v>
      </c>
      <c r="K344">
        <f ca="1">IFERROR(__xludf.DUMMYFUNCTION("""COMPUTED_VALUE"""),35260)</f>
        <v>35260</v>
      </c>
      <c r="L344" t="str">
        <f ca="1">IFERROR(__xludf.DUMMYFUNCTION("""COMPUTED_VALUE"""),"ИЗОВ-Э-ПКП")</f>
        <v>ИЗОВ-Э-ПКП</v>
      </c>
      <c r="M344" t="str">
        <f ca="1">IFERROR(__xludf.DUMMYFUNCTION("""COMPUTED_VALUE"""),"30.06.21 14-58")</f>
        <v>30.06.21 14-58</v>
      </c>
      <c r="N344" t="str">
        <f ca="1">IFERROR(__xludf.DUMMYFUNCTION("""COMPUTED_VALUE"""),"65 РСФП")</f>
        <v>65 РСФП</v>
      </c>
      <c r="O344">
        <f ca="1">IFERROR(__xludf.DUMMYFUNCTION("""COMPUTED_VALUE"""),35260)</f>
        <v>35260</v>
      </c>
      <c r="P344" t="str">
        <f ca="1">IFERROR(__xludf.DUMMYFUNCTION("""COMPUTED_VALUE"""),"ИЗОВ-Э-ПКП")</f>
        <v>ИЗОВ-Э-ПКП</v>
      </c>
      <c r="Q344">
        <f ca="1">IFERROR(__xludf.DUMMYFUNCTION("""COMPUTED_VALUE"""),41220)</f>
        <v>41220</v>
      </c>
      <c r="R344" t="str">
        <f ca="1">IFERROR(__xludf.DUMMYFUNCTION("""COMPUTED_VALUE"""),"БАНДУРКА")</f>
        <v>БАНДУРКА</v>
      </c>
      <c r="S344" t="str">
        <f ca="1">IFERROR(__xludf.DUMMYFUNCTION("""COMPUTED_VALUE"""),"24.06.21 16-00")</f>
        <v>24.06.21 16-00</v>
      </c>
      <c r="T344">
        <f ca="1">IFERROR(__xludf.DUMMYFUNCTION("""COMPUTED_VALUE"""),4456)</f>
        <v>4456</v>
      </c>
      <c r="U344" t="str">
        <f ca="1">IFERROR(__xludf.DUMMYFUNCTION("""COMPUTED_VALUE"""),"18.06.2023 КР")</f>
        <v>18.06.2023 КР</v>
      </c>
      <c r="AA344" t="str">
        <f ca="1">IFERROR(__xludf.DUMMYFUNCTION("""COMPUTED_VALUE"""),"11-217")</f>
        <v>11-217</v>
      </c>
      <c r="AB344" t="str">
        <f ca="1">IFERROR(__xludf.DUMMYFUNCTION("""COMPUTED_VALUE"""),"40 ОД")</f>
        <v>40 ОД</v>
      </c>
      <c r="AC344" t="str">
        <f ca="1">IFERROR(__xludf.DUMMYFUNCTION("""COMPUTED_VALUE"""),"41190 ПОМОШНАЯ")</f>
        <v>41190 ПОМОШНАЯ</v>
      </c>
      <c r="AD344" t="str">
        <f ca="1">IFERROR(__xludf.DUMMYFUNCTION("""COMPUTED_VALUE"""),"07.06.21 09-25")</f>
        <v>07.06.21 09-25</v>
      </c>
      <c r="AE344" t="str">
        <f ca="1">IFERROR(__xludf.DUMMYFUNCTION("""COMPUTED_VALUE"""),"570 ИCТEК КAЛЕНДАРНЫЙ CPOК ДEПOВCКОГО PEМOНТA")</f>
        <v>570 ИCТEК КAЛЕНДАРНЫЙ CPOК ДEПOВCКОГО PEМOНТA</v>
      </c>
      <c r="AF344" t="str">
        <f ca="1">IFERROR(__xludf.DUMMYFUNCTION("""COMPUTED_VALUE"""),"40 ОД")</f>
        <v>40 ОД</v>
      </c>
      <c r="AG344" t="str">
        <f ca="1">IFERROR(__xludf.DUMMYFUNCTION("""COMPUTED_VALUE"""),"41190 ПОМОШНАЯ")</f>
        <v>41190 ПОМОШНАЯ</v>
      </c>
      <c r="AH344" t="str">
        <f ca="1">IFERROR(__xludf.DUMMYFUNCTION("""COMPUTED_VALUE"""),"18.06.21 11-00")</f>
        <v>18.06.21 11-00</v>
      </c>
      <c r="AI344" s="21">
        <f ca="1">IFERROR(__xludf.DUMMYFUNCTION("""COMPUTED_VALUE"""),44420.3583449074)</f>
        <v>44420.358344907399</v>
      </c>
    </row>
    <row r="345" spans="1:35" ht="13" x14ac:dyDescent="0.15">
      <c r="A345">
        <f ca="1">IFERROR(__xludf.DUMMYFUNCTION("""COMPUTED_VALUE"""),1680)</f>
        <v>1680</v>
      </c>
      <c r="B345" t="str">
        <f ca="1">IFERROR(__xludf.DUMMYFUNCTION("""COMPUTED_VALUE"""),"ВИК")</f>
        <v>ВИК</v>
      </c>
      <c r="C345" t="str">
        <f ca="1">IFERROR(__xludf.DUMMYFUNCTION("""COMPUTED_VALUE"""),"ВИК")</f>
        <v>ВИК</v>
      </c>
      <c r="D345">
        <f ca="1">IFERROR(__xludf.DUMMYFUNCTION("""COMPUTED_VALUE"""),24210304)</f>
        <v>24210304</v>
      </c>
      <c r="E345" t="str">
        <f ca="1">IFERROR(__xludf.DUMMYFUNCTION("""COMPUTED_VALUE"""),"20 КРЫТЫЕ")</f>
        <v>20 КРЫТЫЕ</v>
      </c>
      <c r="F345">
        <f ca="1">IFERROR(__xludf.DUMMYFUNCTION("""COMPUTED_VALUE"""),42103)</f>
        <v>42103</v>
      </c>
      <c r="G345" t="str">
        <f ca="1">IFERROR(__xludf.DUMMYFUNCTION("""COMPUTED_VALUE"""),"ВАГОНЫ ЖД СВ")</f>
        <v>ВАГОНЫ ЖД СВ</v>
      </c>
      <c r="H345">
        <f ca="1">IFERROR(__xludf.DUMMYFUNCTION("""COMPUTED_VALUE"""),0)</f>
        <v>0</v>
      </c>
      <c r="I345">
        <f ca="1">IFERROR(__xludf.DUMMYFUNCTION("""COMPUTED_VALUE"""),4149)</f>
        <v>4149</v>
      </c>
      <c r="J345" t="str">
        <f ca="1">IFERROR(__xludf.DUMMYFUNCTION("""COMPUTED_VALUE"""),"3802 (49640-069-49620)  - ДЕКОНСКАЯ")</f>
        <v>3802 (49640-069-49620)  - ДЕКОНСКАЯ</v>
      </c>
      <c r="K345">
        <f ca="1">IFERROR(__xludf.DUMMYFUNCTION("""COMPUTED_VALUE"""),49620)</f>
        <v>49620</v>
      </c>
      <c r="L345" t="str">
        <f ca="1">IFERROR(__xludf.DUMMYFUNCTION("""COMPUTED_VALUE"""),"ДЕКОНСКАЯ")</f>
        <v>ДЕКОНСКАЯ</v>
      </c>
      <c r="M345" t="str">
        <f ca="1">IFERROR(__xludf.DUMMYFUNCTION("""COMPUTED_VALUE"""),"11.08.21 11-00")</f>
        <v>11.08.21 11-00</v>
      </c>
      <c r="N345" t="str">
        <f ca="1">IFERROR(__xludf.DUMMYFUNCTION("""COMPUTED_VALUE"""),"98 ОТОТ")</f>
        <v>98 ОТОТ</v>
      </c>
      <c r="O345">
        <f ca="1">IFERROR(__xludf.DUMMYFUNCTION("""COMPUTED_VALUE"""),49620)</f>
        <v>49620</v>
      </c>
      <c r="P345" t="str">
        <f ca="1">IFERROR(__xludf.DUMMYFUNCTION("""COMPUTED_VALUE"""),"ДЕКОНСКАЯ")</f>
        <v>ДЕКОНСКАЯ</v>
      </c>
      <c r="Q345">
        <f ca="1">IFERROR(__xludf.DUMMYFUNCTION("""COMPUTED_VALUE"""),37030)</f>
        <v>37030</v>
      </c>
      <c r="R345" t="str">
        <f ca="1">IFERROR(__xludf.DUMMYFUNCTION("""COMPUTED_VALUE"""),"СКНИЛОВ")</f>
        <v>СКНИЛОВ</v>
      </c>
      <c r="S345" t="str">
        <f ca="1">IFERROR(__xludf.DUMMYFUNCTION("""COMPUTED_VALUE"""),"04.08.21 17-50")</f>
        <v>04.08.21 17-50</v>
      </c>
      <c r="T345">
        <f ca="1">IFERROR(__xludf.DUMMYFUNCTION("""COMPUTED_VALUE"""),4456)</f>
        <v>4456</v>
      </c>
      <c r="U345" t="str">
        <f ca="1">IFERROR(__xludf.DUMMYFUNCTION("""COMPUTED_VALUE"""),"01.07.2023 ДР")</f>
        <v>01.07.2023 ДР</v>
      </c>
      <c r="AA345" t="str">
        <f ca="1">IFERROR(__xludf.DUMMYFUNCTION("""COMPUTED_VALUE"""),"11-217")</f>
        <v>11-217</v>
      </c>
      <c r="AB345" t="str">
        <f ca="1">IFERROR(__xludf.DUMMYFUNCTION("""COMPUTED_VALUE"""),"40 ОД")</f>
        <v>40 ОД</v>
      </c>
      <c r="AC345" t="str">
        <f ca="1">IFERROR(__xludf.DUMMYFUNCTION("""COMPUTED_VALUE"""),"41190 ПОМОШНАЯ")</f>
        <v>41190 ПОМОШНАЯ</v>
      </c>
      <c r="AD345" t="str">
        <f ca="1">IFERROR(__xludf.DUMMYFUNCTION("""COMPUTED_VALUE"""),"30.06.20 09-00")</f>
        <v>30.06.20 09-00</v>
      </c>
      <c r="AE345" t="str">
        <f ca="1">IFERROR(__xludf.DUMMYFUNCTION("""COMPUTED_VALUE"""),"570 ИCТEК КAЛЕНДАРНЫЙ CPOК ДEПOВCКОГО PEМOНТA")</f>
        <v>570 ИCТEК КAЛЕНДАРНЫЙ CPOК ДEПOВCКОГО PEМOНТA</v>
      </c>
      <c r="AF345" t="str">
        <f ca="1">IFERROR(__xludf.DUMMYFUNCTION("""COMPUTED_VALUE"""),"40 ОД")</f>
        <v>40 ОД</v>
      </c>
      <c r="AG345" t="str">
        <f ca="1">IFERROR(__xludf.DUMMYFUNCTION("""COMPUTED_VALUE"""),"41190 ПОМОШНАЯ")</f>
        <v>41190 ПОМОШНАЯ</v>
      </c>
      <c r="AH345" t="str">
        <f ca="1">IFERROR(__xludf.DUMMYFUNCTION("""COMPUTED_VALUE"""),"01.07.20 16-30")</f>
        <v>01.07.20 16-30</v>
      </c>
      <c r="AI345" s="21">
        <f ca="1">IFERROR(__xludf.DUMMYFUNCTION("""COMPUTED_VALUE"""),44420.3583449074)</f>
        <v>44420.358344907399</v>
      </c>
    </row>
    <row r="346" spans="1:35" ht="13" x14ac:dyDescent="0.15">
      <c r="A346">
        <f ca="1">IFERROR(__xludf.DUMMYFUNCTION("""COMPUTED_VALUE"""),1681)</f>
        <v>1681</v>
      </c>
      <c r="B346" t="str">
        <f ca="1">IFERROR(__xludf.DUMMYFUNCTION("""COMPUTED_VALUE"""),"ВИК")</f>
        <v>ВИК</v>
      </c>
      <c r="C346" t="str">
        <f ca="1">IFERROR(__xludf.DUMMYFUNCTION("""COMPUTED_VALUE"""),"ВИК")</f>
        <v>ВИК</v>
      </c>
      <c r="D346">
        <f ca="1">IFERROR(__xludf.DUMMYFUNCTION("""COMPUTED_VALUE"""),24210312)</f>
        <v>24210312</v>
      </c>
      <c r="E346" t="str">
        <f ca="1">IFERROR(__xludf.DUMMYFUNCTION("""COMPUTED_VALUE"""),"20 КРЫТЫЕ")</f>
        <v>20 КРЫТЫЕ</v>
      </c>
      <c r="F346">
        <f ca="1">IFERROR(__xludf.DUMMYFUNCTION("""COMPUTED_VALUE"""),42103)</f>
        <v>42103</v>
      </c>
      <c r="G346" t="str">
        <f ca="1">IFERROR(__xludf.DUMMYFUNCTION("""COMPUTED_VALUE"""),"ВАГОНЫ ЖД СВ")</f>
        <v>ВАГОНЫ ЖД СВ</v>
      </c>
      <c r="H346">
        <f ca="1">IFERROR(__xludf.DUMMYFUNCTION("""COMPUTED_VALUE"""),0)</f>
        <v>0</v>
      </c>
      <c r="I346">
        <f ca="1">IFERROR(__xludf.DUMMYFUNCTION("""COMPUTED_VALUE"""),1111)</f>
        <v>1111</v>
      </c>
      <c r="J346" t="str">
        <f ca="1">IFERROR(__xludf.DUMMYFUNCTION("""COMPUTED_VALUE"""),"3101 (34800-054-34000) НОВОГР-ВОЛ I - ШЕПЕТОВКА")</f>
        <v>3101 (34800-054-34000) НОВОГР-ВОЛ I - ШЕПЕТОВКА</v>
      </c>
      <c r="K346">
        <f ca="1">IFERROR(__xludf.DUMMYFUNCTION("""COMPUTED_VALUE"""),34000)</f>
        <v>34000</v>
      </c>
      <c r="L346" t="str">
        <f ca="1">IFERROR(__xludf.DUMMYFUNCTION("""COMPUTED_VALUE"""),"ШЕПЕТОВКА")</f>
        <v>ШЕПЕТОВКА</v>
      </c>
      <c r="M346" t="str">
        <f ca="1">IFERROR(__xludf.DUMMYFUNCTION("""COMPUTED_VALUE"""),"10.08.21 22-15")</f>
        <v>10.08.21 22-15</v>
      </c>
      <c r="N346" t="str">
        <f ca="1">IFERROR(__xludf.DUMMYFUNCTION("""COMPUTED_VALUE"""),"51 ПРИБ")</f>
        <v>51 ПРИБ</v>
      </c>
      <c r="O346">
        <f ca="1">IFERROR(__xludf.DUMMYFUNCTION("""COMPUTED_VALUE"""),35260)</f>
        <v>35260</v>
      </c>
      <c r="P346" t="str">
        <f ca="1">IFERROR(__xludf.DUMMYFUNCTION("""COMPUTED_VALUE"""),"ИЗОВ-Э-ПКП")</f>
        <v>ИЗОВ-Э-ПКП</v>
      </c>
      <c r="Q346">
        <f ca="1">IFERROR(__xludf.DUMMYFUNCTION("""COMPUTED_VALUE"""),34800)</f>
        <v>34800</v>
      </c>
      <c r="R346" t="str">
        <f ca="1">IFERROR(__xludf.DUMMYFUNCTION("""COMPUTED_VALUE"""),"НОВОГР-ВОЛ I")</f>
        <v>НОВОГР-ВОЛ I</v>
      </c>
      <c r="S346" t="str">
        <f ca="1">IFERROR(__xludf.DUMMYFUNCTION("""COMPUTED_VALUE"""),"10.08.21 10-30")</f>
        <v>10.08.21 10-30</v>
      </c>
      <c r="T346">
        <f ca="1">IFERROR(__xludf.DUMMYFUNCTION("""COMPUTED_VALUE"""),4456)</f>
        <v>4456</v>
      </c>
      <c r="U346" t="str">
        <f ca="1">IFERROR(__xludf.DUMMYFUNCTION("""COMPUTED_VALUE"""),"10.06.2023 ДР")</f>
        <v>10.06.2023 ДР</v>
      </c>
      <c r="AA346" t="str">
        <f ca="1">IFERROR(__xludf.DUMMYFUNCTION("""COMPUTED_VALUE"""),"11-217")</f>
        <v>11-217</v>
      </c>
      <c r="AB346" t="str">
        <f ca="1">IFERROR(__xludf.DUMMYFUNCTION("""COMPUTED_VALUE"""),"40 ОД")</f>
        <v>40 ОД</v>
      </c>
      <c r="AC346" t="str">
        <f ca="1">IFERROR(__xludf.DUMMYFUNCTION("""COMPUTED_VALUE"""),"41190 ПОМОШНАЯ")</f>
        <v>41190 ПОМОШНАЯ</v>
      </c>
      <c r="AD346" t="str">
        <f ca="1">IFERROR(__xludf.DUMMYFUNCTION("""COMPUTED_VALUE"""),"27.03.21 15-00")</f>
        <v>27.03.21 15-00</v>
      </c>
      <c r="AE346" t="str">
        <f ca="1">IFERROR(__xludf.DUMMYFUNCTION("""COMPUTED_VALUE"""),"570 ИCТEК КAЛЕНДАРНЫЙ CPOК ДEПOВCКОГО PEМOНТA")</f>
        <v>570 ИCТEК КAЛЕНДАРНЫЙ CPOК ДEПOВCКОГО PEМOНТA</v>
      </c>
      <c r="AF346" t="str">
        <f ca="1">IFERROR(__xludf.DUMMYFUNCTION("""COMPUTED_VALUE"""),"40 ОД")</f>
        <v>40 ОД</v>
      </c>
      <c r="AG346" t="str">
        <f ca="1">IFERROR(__xludf.DUMMYFUNCTION("""COMPUTED_VALUE"""),"41190 ПОМОШНАЯ")</f>
        <v>41190 ПОМОШНАЯ</v>
      </c>
      <c r="AH346" t="str">
        <f ca="1">IFERROR(__xludf.DUMMYFUNCTION("""COMPUTED_VALUE"""),"10.06.21 18-00")</f>
        <v>10.06.21 18-00</v>
      </c>
      <c r="AI346" s="21">
        <f ca="1">IFERROR(__xludf.DUMMYFUNCTION("""COMPUTED_VALUE"""),44420.3583449074)</f>
        <v>44420.358344907399</v>
      </c>
    </row>
    <row r="347" spans="1:35" ht="13" x14ac:dyDescent="0.15">
      <c r="A347">
        <f ca="1">IFERROR(__xludf.DUMMYFUNCTION("""COMPUTED_VALUE"""),1682)</f>
        <v>1682</v>
      </c>
      <c r="B347" t="str">
        <f ca="1">IFERROR(__xludf.DUMMYFUNCTION("""COMPUTED_VALUE"""),"ВИК")</f>
        <v>ВИК</v>
      </c>
      <c r="C347" t="str">
        <f ca="1">IFERROR(__xludf.DUMMYFUNCTION("""COMPUTED_VALUE"""),"ВИК")</f>
        <v>ВИК</v>
      </c>
      <c r="D347">
        <f ca="1">IFERROR(__xludf.DUMMYFUNCTION("""COMPUTED_VALUE"""),24210320)</f>
        <v>24210320</v>
      </c>
      <c r="E347" t="str">
        <f ca="1">IFERROR(__xludf.DUMMYFUNCTION("""COMPUTED_VALUE"""),"20 КРЫТЫЕ")</f>
        <v>20 КРЫТЫЕ</v>
      </c>
      <c r="F347">
        <f ca="1">IFERROR(__xludf.DUMMYFUNCTION("""COMPUTED_VALUE"""),42103)</f>
        <v>42103</v>
      </c>
      <c r="G347" t="str">
        <f ca="1">IFERROR(__xludf.DUMMYFUNCTION("""COMPUTED_VALUE"""),"ВАГОНЫ ЖД СВ")</f>
        <v>ВАГОНЫ ЖД СВ</v>
      </c>
      <c r="H347">
        <f ca="1">IFERROR(__xludf.DUMMYFUNCTION("""COMPUTED_VALUE"""),0)</f>
        <v>0</v>
      </c>
      <c r="I347">
        <f ca="1">IFERROR(__xludf.DUMMYFUNCTION("""COMPUTED_VALUE"""),4026)</f>
        <v>4026</v>
      </c>
      <c r="J347" t="str">
        <f ca="1">IFERROR(__xludf.DUMMYFUNCTION("""COMPUTED_VALUE"""),"3592 (48620-020-48630) ВОЛНОВАХА - ВЕЛИКО-АНАД")</f>
        <v>3592 (48620-020-48630) ВОЛНОВАХА - ВЕЛИКО-АНАД</v>
      </c>
      <c r="K347">
        <f ca="1">IFERROR(__xludf.DUMMYFUNCTION("""COMPUTED_VALUE"""),48630)</f>
        <v>48630</v>
      </c>
      <c r="L347" t="str">
        <f ca="1">IFERROR(__xludf.DUMMYFUNCTION("""COMPUTED_VALUE"""),"ВЕЛИКО-АНАД")</f>
        <v>ВЕЛИКО-АНАД</v>
      </c>
      <c r="M347" t="str">
        <f ca="1">IFERROR(__xludf.DUMMYFUNCTION("""COMPUTED_VALUE"""),"08.08.21 11-00")</f>
        <v>08.08.21 11-00</v>
      </c>
      <c r="N347" t="str">
        <f ca="1">IFERROR(__xludf.DUMMYFUNCTION("""COMPUTED_VALUE"""),"98 ОТОТ")</f>
        <v>98 ОТОТ</v>
      </c>
      <c r="O347">
        <f ca="1">IFERROR(__xludf.DUMMYFUNCTION("""COMPUTED_VALUE"""),48630)</f>
        <v>48630</v>
      </c>
      <c r="P347" t="str">
        <f ca="1">IFERROR(__xludf.DUMMYFUNCTION("""COMPUTED_VALUE"""),"ВЕЛИКО-АНАД")</f>
        <v>ВЕЛИКО-АНАД</v>
      </c>
      <c r="Q347">
        <f ca="1">IFERROR(__xludf.DUMMYFUNCTION("""COMPUTED_VALUE"""),40510)</f>
        <v>40510</v>
      </c>
      <c r="R347" t="str">
        <f ca="1">IFERROR(__xludf.DUMMYFUNCTION("""COMPUTED_VALUE"""),"ОДЕССА-ЗАС I")</f>
        <v>ОДЕССА-ЗАС I</v>
      </c>
      <c r="S347" t="str">
        <f ca="1">IFERROR(__xludf.DUMMYFUNCTION("""COMPUTED_VALUE"""),"26.07.21 18-00")</f>
        <v>26.07.21 18-00</v>
      </c>
      <c r="T347">
        <f ca="1">IFERROR(__xludf.DUMMYFUNCTION("""COMPUTED_VALUE"""),4456)</f>
        <v>4456</v>
      </c>
      <c r="U347" t="str">
        <f ca="1">IFERROR(__xludf.DUMMYFUNCTION("""COMPUTED_VALUE"""),"03.10.2022 ДР")</f>
        <v>03.10.2022 ДР</v>
      </c>
      <c r="AA347" t="str">
        <f ca="1">IFERROR(__xludf.DUMMYFUNCTION("""COMPUTED_VALUE"""),"11-217")</f>
        <v>11-217</v>
      </c>
      <c r="AB347" t="str">
        <f ca="1">IFERROR(__xludf.DUMMYFUNCTION("""COMPUTED_VALUE"""),"32 Ю-ЗАП")</f>
        <v>32 Ю-ЗАП</v>
      </c>
      <c r="AC347" t="str">
        <f ca="1">IFERROR(__xludf.DUMMYFUNCTION("""COMPUTED_VALUE"""),"33000 ЖМЕРИНКА")</f>
        <v>33000 ЖМЕРИНКА</v>
      </c>
      <c r="AD347" t="str">
        <f ca="1">IFERROR(__xludf.DUMMYFUNCTION("""COMPUTED_VALUE"""),"25.09.20 03-30")</f>
        <v>25.09.20 03-30</v>
      </c>
      <c r="AE347" t="str">
        <f ca="1">IFERROR(__xludf.DUMMYFUNCTION("""COMPUTED_VALUE"""),"445 ЗAВAP БAШМAКA")</f>
        <v>445 ЗAВAP БAШМAКA</v>
      </c>
      <c r="AF347" t="str">
        <f ca="1">IFERROR(__xludf.DUMMYFUNCTION("""COMPUTED_VALUE"""),"32 Ю-ЗАП")</f>
        <v>32 Ю-ЗАП</v>
      </c>
      <c r="AG347" t="str">
        <f ca="1">IFERROR(__xludf.DUMMYFUNCTION("""COMPUTED_VALUE"""),"33000 ЖМЕРИНКА")</f>
        <v>33000 ЖМЕРИНКА</v>
      </c>
      <c r="AH347" t="str">
        <f ca="1">IFERROR(__xludf.DUMMYFUNCTION("""COMPUTED_VALUE"""),"30.09.20 17-30")</f>
        <v>30.09.20 17-30</v>
      </c>
      <c r="AI347" s="21">
        <f ca="1">IFERROR(__xludf.DUMMYFUNCTION("""COMPUTED_VALUE"""),44420.3583449074)</f>
        <v>44420.358344907399</v>
      </c>
    </row>
    <row r="348" spans="1:35" ht="13" x14ac:dyDescent="0.15">
      <c r="A348">
        <f ca="1">IFERROR(__xludf.DUMMYFUNCTION("""COMPUTED_VALUE"""),1683)</f>
        <v>1683</v>
      </c>
      <c r="B348" t="str">
        <f ca="1">IFERROR(__xludf.DUMMYFUNCTION("""COMPUTED_VALUE"""),"ВИК")</f>
        <v>ВИК</v>
      </c>
      <c r="C348" t="str">
        <f ca="1">IFERROR(__xludf.DUMMYFUNCTION("""COMPUTED_VALUE"""),"ВИК")</f>
        <v>ВИК</v>
      </c>
      <c r="D348">
        <f ca="1">IFERROR(__xludf.DUMMYFUNCTION("""COMPUTED_VALUE"""),24210353)</f>
        <v>24210353</v>
      </c>
      <c r="E348" t="str">
        <f ca="1">IFERROR(__xludf.DUMMYFUNCTION("""COMPUTED_VALUE"""),"20 КРЫТЫЕ")</f>
        <v>20 КРЫТЫЕ</v>
      </c>
      <c r="F348">
        <f ca="1">IFERROR(__xludf.DUMMYFUNCTION("""COMPUTED_VALUE"""),42103)</f>
        <v>42103</v>
      </c>
      <c r="G348" t="str">
        <f ca="1">IFERROR(__xludf.DUMMYFUNCTION("""COMPUTED_VALUE"""),"ВАГОНЫ ЖД СВ")</f>
        <v>ВАГОНЫ ЖД СВ</v>
      </c>
      <c r="H348">
        <f ca="1">IFERROR(__xludf.DUMMYFUNCTION("""COMPUTED_VALUE"""),0)</f>
        <v>0</v>
      </c>
      <c r="I348">
        <f ca="1">IFERROR(__xludf.DUMMYFUNCTION("""COMPUTED_VALUE"""),4714)</f>
        <v>4714</v>
      </c>
      <c r="J348" t="str">
        <f ca="1">IFERROR(__xludf.DUMMYFUNCTION("""COMPUTED_VALUE"""),"3574 (49460-087-49000) БАХМУТ - ЛИМАН")</f>
        <v>3574 (49460-087-49000) БАХМУТ - ЛИМАН</v>
      </c>
      <c r="K348">
        <f ca="1">IFERROR(__xludf.DUMMYFUNCTION("""COMPUTED_VALUE"""),49480)</f>
        <v>49480</v>
      </c>
      <c r="L348" t="str">
        <f ca="1">IFERROR(__xludf.DUMMYFUNCTION("""COMPUTED_VALUE"""),"СОЛЬ")</f>
        <v>СОЛЬ</v>
      </c>
      <c r="M348" t="str">
        <f ca="1">IFERROR(__xludf.DUMMYFUNCTION("""COMPUTED_VALUE"""),"29.07.21 13-00")</f>
        <v>29.07.21 13-00</v>
      </c>
      <c r="N348" t="str">
        <f ca="1">IFERROR(__xludf.DUMMYFUNCTION("""COMPUTED_VALUE"""),"98 ОТОТ")</f>
        <v>98 ОТОТ</v>
      </c>
      <c r="O348">
        <f ca="1">IFERROR(__xludf.DUMMYFUNCTION("""COMPUTED_VALUE"""),49480)</f>
        <v>49480</v>
      </c>
      <c r="P348" t="str">
        <f ca="1">IFERROR(__xludf.DUMMYFUNCTION("""COMPUTED_VALUE"""),"СОЛЬ")</f>
        <v>СОЛЬ</v>
      </c>
      <c r="Q348">
        <f ca="1">IFERROR(__xludf.DUMMYFUNCTION("""COMPUTED_VALUE"""),32040)</f>
        <v>32040</v>
      </c>
      <c r="R348" t="str">
        <f ca="1">IFERROR(__xludf.DUMMYFUNCTION("""COMPUTED_VALUE"""),"ГРУШКИ")</f>
        <v>ГРУШКИ</v>
      </c>
      <c r="S348" t="str">
        <f ca="1">IFERROR(__xludf.DUMMYFUNCTION("""COMPUTED_VALUE"""),"17.07.21 08-30")</f>
        <v>17.07.21 08-30</v>
      </c>
      <c r="T348">
        <f ca="1">IFERROR(__xludf.DUMMYFUNCTION("""COMPUTED_VALUE"""),4456)</f>
        <v>4456</v>
      </c>
      <c r="U348" t="str">
        <f ca="1">IFERROR(__xludf.DUMMYFUNCTION("""COMPUTED_VALUE"""),"08.04.2023 ДР")</f>
        <v>08.04.2023 ДР</v>
      </c>
      <c r="AA348" t="str">
        <f ca="1">IFERROR(__xludf.DUMMYFUNCTION("""COMPUTED_VALUE"""),"11-217")</f>
        <v>11-217</v>
      </c>
      <c r="AB348" t="str">
        <f ca="1">IFERROR(__xludf.DUMMYFUNCTION("""COMPUTED_VALUE"""),"40 ОД")</f>
        <v>40 ОД</v>
      </c>
      <c r="AC348" t="str">
        <f ca="1">IFERROR(__xludf.DUMMYFUNCTION("""COMPUTED_VALUE"""),"41190 ПОМОШНАЯ")</f>
        <v>41190 ПОМОШНАЯ</v>
      </c>
      <c r="AD348" t="str">
        <f ca="1">IFERROR(__xludf.DUMMYFUNCTION("""COMPUTED_VALUE"""),"16.03.21 11-45")</f>
        <v>16.03.21 11-45</v>
      </c>
      <c r="AE348" t="str">
        <f ca="1">IFERROR(__xludf.DUMMYFUNCTION("""COMPUTED_VALUE"""),"570 ИCТEК КAЛЕНДАРНЫЙ CPOК ДEПOВCКОГО PEМOНТA")</f>
        <v>570 ИCТEК КAЛЕНДАРНЫЙ CPOК ДEПOВCКОГО PEМOНТA</v>
      </c>
      <c r="AF348" t="str">
        <f ca="1">IFERROR(__xludf.DUMMYFUNCTION("""COMPUTED_VALUE"""),"40 ОД")</f>
        <v>40 ОД</v>
      </c>
      <c r="AG348" t="str">
        <f ca="1">IFERROR(__xludf.DUMMYFUNCTION("""COMPUTED_VALUE"""),"41190 ПОМОШНАЯ")</f>
        <v>41190 ПОМОШНАЯ</v>
      </c>
      <c r="AH348" t="str">
        <f ca="1">IFERROR(__xludf.DUMMYFUNCTION("""COMPUTED_VALUE"""),"08.04.21 15-25")</f>
        <v>08.04.21 15-25</v>
      </c>
      <c r="AI348" s="21">
        <f ca="1">IFERROR(__xludf.DUMMYFUNCTION("""COMPUTED_VALUE"""),44420.3583449074)</f>
        <v>44420.358344907399</v>
      </c>
    </row>
    <row r="349" spans="1:35" ht="13" x14ac:dyDescent="0.15">
      <c r="A349">
        <f ca="1">IFERROR(__xludf.DUMMYFUNCTION("""COMPUTED_VALUE"""),1684)</f>
        <v>1684</v>
      </c>
      <c r="B349" t="str">
        <f ca="1">IFERROR(__xludf.DUMMYFUNCTION("""COMPUTED_VALUE"""),"ВИК")</f>
        <v>ВИК</v>
      </c>
      <c r="C349" t="str">
        <f ca="1">IFERROR(__xludf.DUMMYFUNCTION("""COMPUTED_VALUE"""),"ВИК")</f>
        <v>ВИК</v>
      </c>
      <c r="D349">
        <f ca="1">IFERROR(__xludf.DUMMYFUNCTION("""COMPUTED_VALUE"""),24210379)</f>
        <v>24210379</v>
      </c>
      <c r="E349" t="str">
        <f ca="1">IFERROR(__xludf.DUMMYFUNCTION("""COMPUTED_VALUE"""),"20 КРЫТЫЕ")</f>
        <v>20 КРЫТЫЕ</v>
      </c>
      <c r="F349">
        <f ca="1">IFERROR(__xludf.DUMMYFUNCTION("""COMPUTED_VALUE"""),42103)</f>
        <v>42103</v>
      </c>
      <c r="G349" t="str">
        <f ca="1">IFERROR(__xludf.DUMMYFUNCTION("""COMPUTED_VALUE"""),"ВАГОНЫ ЖД СВ")</f>
        <v>ВАГОНЫ ЖД СВ</v>
      </c>
      <c r="H349">
        <f ca="1">IFERROR(__xludf.DUMMYFUNCTION("""COMPUTED_VALUE"""),0)</f>
        <v>0</v>
      </c>
      <c r="I349">
        <f ca="1">IFERROR(__xludf.DUMMYFUNCTION("""COMPUTED_VALUE"""),4149)</f>
        <v>4149</v>
      </c>
      <c r="J349" t="str">
        <f ca="1">IFERROR(__xludf.DUMMYFUNCTION("""COMPUTED_VALUE"""),"2831 (44020-300-49000) ОСНОВА - ЛИМАН")</f>
        <v>2831 (44020-300-49000) ОСНОВА - ЛИМАН</v>
      </c>
      <c r="K349">
        <f ca="1">IFERROR(__xludf.DUMMYFUNCTION("""COMPUTED_VALUE"""),49005)</f>
        <v>49005</v>
      </c>
      <c r="L349" t="str">
        <f ca="1">IFERROR(__xludf.DUMMYFUNCTION("""COMPUTED_VALUE"""),"ФОРПОСТНАЯ")</f>
        <v>ФОРПОСТНАЯ</v>
      </c>
      <c r="M349" t="str">
        <f ca="1">IFERROR(__xludf.DUMMYFUNCTION("""COMPUTED_VALUE"""),"12.08.21 08-19")</f>
        <v>12.08.21 08-19</v>
      </c>
      <c r="N349" t="str">
        <f ca="1">IFERROR(__xludf.DUMMYFUNCTION("""COMPUTED_VALUE"""),"03 ПРОС")</f>
        <v>03 ПРОС</v>
      </c>
      <c r="O349">
        <f ca="1">IFERROR(__xludf.DUMMYFUNCTION("""COMPUTED_VALUE"""),49620)</f>
        <v>49620</v>
      </c>
      <c r="P349" t="str">
        <f ca="1">IFERROR(__xludf.DUMMYFUNCTION("""COMPUTED_VALUE"""),"ДЕКОНСКАЯ")</f>
        <v>ДЕКОНСКАЯ</v>
      </c>
      <c r="Q349">
        <f ca="1">IFERROR(__xludf.DUMMYFUNCTION("""COMPUTED_VALUE"""),32040)</f>
        <v>32040</v>
      </c>
      <c r="R349" t="str">
        <f ca="1">IFERROR(__xludf.DUMMYFUNCTION("""COMPUTED_VALUE"""),"ГРУШКИ")</f>
        <v>ГРУШКИ</v>
      </c>
      <c r="S349" t="str">
        <f ca="1">IFERROR(__xludf.DUMMYFUNCTION("""COMPUTED_VALUE"""),"06.08.21 08-00")</f>
        <v>06.08.21 08-00</v>
      </c>
      <c r="T349">
        <f ca="1">IFERROR(__xludf.DUMMYFUNCTION("""COMPUTED_VALUE"""),4456)</f>
        <v>4456</v>
      </c>
      <c r="U349" t="str">
        <f ca="1">IFERROR(__xludf.DUMMYFUNCTION("""COMPUTED_VALUE"""),"29.04.2022 ДР")</f>
        <v>29.04.2022 ДР</v>
      </c>
      <c r="AA349" t="str">
        <f ca="1">IFERROR(__xludf.DUMMYFUNCTION("""COMPUTED_VALUE"""),"11-217")</f>
        <v>11-217</v>
      </c>
      <c r="AB349" t="str">
        <f ca="1">IFERROR(__xludf.DUMMYFUNCTION("""COMPUTED_VALUE"""),"43 ЮЖН")</f>
        <v>43 ЮЖН</v>
      </c>
      <c r="AC349" t="str">
        <f ca="1">IFERROR(__xludf.DUMMYFUNCTION("""COMPUTED_VALUE"""),"44020 ОСНОВА")</f>
        <v>44020 ОСНОВА</v>
      </c>
      <c r="AD349" t="str">
        <f ca="1">IFERROR(__xludf.DUMMYFUNCTION("""COMPUTED_VALUE"""),"05.04.21 09-00")</f>
        <v>05.04.21 09-00</v>
      </c>
      <c r="AE349" t="str">
        <f ca="1">IFERROR(__xludf.DUMMYFUNCTION("""COMPUTED_VALUE"""),"537 НEИCПPAВНOCТЬ ЗAПOPA ДВEPИ")</f>
        <v>537 НEИCПPAВНOCТЬ ЗAПOPA ДВEPИ</v>
      </c>
      <c r="AF349" t="str">
        <f ca="1">IFERROR(__xludf.DUMMYFUNCTION("""COMPUTED_VALUE"""),"43 ЮЖН")</f>
        <v>43 ЮЖН</v>
      </c>
      <c r="AG349" t="str">
        <f ca="1">IFERROR(__xludf.DUMMYFUNCTION("""COMPUTED_VALUE"""),"44020 ОСНОВА")</f>
        <v>44020 ОСНОВА</v>
      </c>
      <c r="AH349" t="str">
        <f ca="1">IFERROR(__xludf.DUMMYFUNCTION("""COMPUTED_VALUE"""),"05.04.21 17-30")</f>
        <v>05.04.21 17-30</v>
      </c>
      <c r="AI349" s="21">
        <f ca="1">IFERROR(__xludf.DUMMYFUNCTION("""COMPUTED_VALUE"""),44420.3583449074)</f>
        <v>44420.358344907399</v>
      </c>
    </row>
    <row r="350" spans="1:35" ht="13" x14ac:dyDescent="0.15">
      <c r="A350">
        <f ca="1">IFERROR(__xludf.DUMMYFUNCTION("""COMPUTED_VALUE"""),1685)</f>
        <v>1685</v>
      </c>
      <c r="B350" t="str">
        <f ca="1">IFERROR(__xludf.DUMMYFUNCTION("""COMPUTED_VALUE"""),"ВИК")</f>
        <v>ВИК</v>
      </c>
      <c r="C350" t="str">
        <f ca="1">IFERROR(__xludf.DUMMYFUNCTION("""COMPUTED_VALUE"""),"ВИК")</f>
        <v>ВИК</v>
      </c>
      <c r="D350">
        <f ca="1">IFERROR(__xludf.DUMMYFUNCTION("""COMPUTED_VALUE"""),24210445)</f>
        <v>24210445</v>
      </c>
      <c r="E350" t="str">
        <f ca="1">IFERROR(__xludf.DUMMYFUNCTION("""COMPUTED_VALUE"""),"20 КРЫТЫЕ")</f>
        <v>20 КРЫТЫЕ</v>
      </c>
      <c r="F350">
        <f ca="1">IFERROR(__xludf.DUMMYFUNCTION("""COMPUTED_VALUE"""),23304)</f>
        <v>23304</v>
      </c>
      <c r="G350" t="str">
        <f ca="1">IFERROR(__xludf.DUMMYFUNCTION("""COMPUTED_VALUE"""),"ГИПС ПР")</f>
        <v>ГИПС ПР</v>
      </c>
      <c r="H350">
        <f ca="1">IFERROR(__xludf.DUMMYFUNCTION("""COMPUTED_VALUE"""),68)</f>
        <v>68</v>
      </c>
      <c r="I350">
        <f ca="1">IFERROR(__xludf.DUMMYFUNCTION("""COMPUTED_VALUE"""),1658)</f>
        <v>1658</v>
      </c>
      <c r="J350" t="str">
        <f ca="1">IFERROR(__xludf.DUMMYFUNCTION("""COMPUTED_VALUE"""),"4831 (49640-037-49460)  - БАХМУТ")</f>
        <v>4831 (49640-037-49460)  - БАХМУТ</v>
      </c>
      <c r="K350">
        <f ca="1">IFERROR(__xludf.DUMMYFUNCTION("""COMPUTED_VALUE"""),49460)</f>
        <v>49460</v>
      </c>
      <c r="L350" t="str">
        <f ca="1">IFERROR(__xludf.DUMMYFUNCTION("""COMPUTED_VALUE"""),"БАХМУТ")</f>
        <v>БАХМУТ</v>
      </c>
      <c r="M350" t="str">
        <f ca="1">IFERROR(__xludf.DUMMYFUNCTION("""COMPUTED_VALUE"""),"12.08.21 07-00")</f>
        <v>12.08.21 07-00</v>
      </c>
      <c r="N350" t="str">
        <f ca="1">IFERROR(__xludf.DUMMYFUNCTION("""COMPUTED_VALUE"""),"04 РАСФ")</f>
        <v>04 РАСФ</v>
      </c>
      <c r="O350">
        <f ca="1">IFERROR(__xludf.DUMMYFUNCTION("""COMPUTED_VALUE"""),32060)</f>
        <v>32060</v>
      </c>
      <c r="P350" t="str">
        <f ca="1">IFERROR(__xludf.DUMMYFUNCTION("""COMPUTED_VALUE"""),"ПОЧАЙНА")</f>
        <v>ПОЧАЙНА</v>
      </c>
      <c r="Q350">
        <f ca="1">IFERROR(__xludf.DUMMYFUNCTION("""COMPUTED_VALUE"""),49620)</f>
        <v>49620</v>
      </c>
      <c r="R350" t="str">
        <f ca="1">IFERROR(__xludf.DUMMYFUNCTION("""COMPUTED_VALUE"""),"ДЕКОНСКАЯ")</f>
        <v>ДЕКОНСКАЯ</v>
      </c>
      <c r="S350" t="str">
        <f ca="1">IFERROR(__xludf.DUMMYFUNCTION("""COMPUTED_VALUE"""),"11.08.21 10-30")</f>
        <v>11.08.21 10-30</v>
      </c>
      <c r="T350">
        <f ca="1">IFERROR(__xludf.DUMMYFUNCTION("""COMPUTED_VALUE"""),4149)</f>
        <v>4149</v>
      </c>
      <c r="U350" t="str">
        <f ca="1">IFERROR(__xludf.DUMMYFUNCTION("""COMPUTED_VALUE"""),"26.06.2023 ДР")</f>
        <v>26.06.2023 ДР</v>
      </c>
      <c r="AA350" t="str">
        <f ca="1">IFERROR(__xludf.DUMMYFUNCTION("""COMPUTED_VALUE"""),"11-217")</f>
        <v>11-217</v>
      </c>
      <c r="AB350" t="str">
        <f ca="1">IFERROR(__xludf.DUMMYFUNCTION("""COMPUTED_VALUE"""),"40 ОД")</f>
        <v>40 ОД</v>
      </c>
      <c r="AC350" t="str">
        <f ca="1">IFERROR(__xludf.DUMMYFUNCTION("""COMPUTED_VALUE"""),"41190 ПОМОШНАЯ")</f>
        <v>41190 ПОМОШНАЯ</v>
      </c>
      <c r="AD350" t="str">
        <f ca="1">IFERROR(__xludf.DUMMYFUNCTION("""COMPUTED_VALUE"""),"25.06.20 08-00")</f>
        <v>25.06.20 08-00</v>
      </c>
      <c r="AE350" t="str">
        <f ca="1">IFERROR(__xludf.DUMMYFUNCTION("""COMPUTED_VALUE"""),"570 ИCТEК КAЛЕНДАРНЫЙ CPOК ДEПOВCКОГО PEМOНТA")</f>
        <v>570 ИCТEК КAЛЕНДАРНЫЙ CPOК ДEПOВCКОГО PEМOНТA</v>
      </c>
      <c r="AF350" t="str">
        <f ca="1">IFERROR(__xludf.DUMMYFUNCTION("""COMPUTED_VALUE"""),"40 ОД")</f>
        <v>40 ОД</v>
      </c>
      <c r="AG350" t="str">
        <f ca="1">IFERROR(__xludf.DUMMYFUNCTION("""COMPUTED_VALUE"""),"41190 ПОМОШНАЯ")</f>
        <v>41190 ПОМОШНАЯ</v>
      </c>
      <c r="AH350" t="str">
        <f ca="1">IFERROR(__xludf.DUMMYFUNCTION("""COMPUTED_VALUE"""),"26.06.20 16-00")</f>
        <v>26.06.20 16-00</v>
      </c>
      <c r="AI350" s="21">
        <f ca="1">IFERROR(__xludf.DUMMYFUNCTION("""COMPUTED_VALUE"""),44420.3583449074)</f>
        <v>44420.358344907399</v>
      </c>
    </row>
    <row r="351" spans="1:35" ht="13" x14ac:dyDescent="0.15">
      <c r="A351">
        <f ca="1">IFERROR(__xludf.DUMMYFUNCTION("""COMPUTED_VALUE"""),1686)</f>
        <v>1686</v>
      </c>
      <c r="B351" t="str">
        <f ca="1">IFERROR(__xludf.DUMMYFUNCTION("""COMPUTED_VALUE"""),"ВИК")</f>
        <v>ВИК</v>
      </c>
      <c r="C351" t="str">
        <f ca="1">IFERROR(__xludf.DUMMYFUNCTION("""COMPUTED_VALUE"""),"ВИК")</f>
        <v>ВИК</v>
      </c>
      <c r="D351">
        <f ca="1">IFERROR(__xludf.DUMMYFUNCTION("""COMPUTED_VALUE"""),24210452)</f>
        <v>24210452</v>
      </c>
      <c r="E351" t="str">
        <f ca="1">IFERROR(__xludf.DUMMYFUNCTION("""COMPUTED_VALUE"""),"20 КРЫТЫЕ")</f>
        <v>20 КРЫТЫЕ</v>
      </c>
      <c r="F351">
        <f ca="1">IFERROR(__xludf.DUMMYFUNCTION("""COMPUTED_VALUE"""),23304)</f>
        <v>23304</v>
      </c>
      <c r="G351" t="str">
        <f ca="1">IFERROR(__xludf.DUMMYFUNCTION("""COMPUTED_VALUE"""),"ГИПС ПР")</f>
        <v>ГИПС ПР</v>
      </c>
      <c r="H351">
        <f ca="1">IFERROR(__xludf.DUMMYFUNCTION("""COMPUTED_VALUE"""),68)</f>
        <v>68</v>
      </c>
      <c r="I351">
        <f ca="1">IFERROR(__xludf.DUMMYFUNCTION("""COMPUTED_VALUE"""),1658)</f>
        <v>1658</v>
      </c>
      <c r="J351" t="str">
        <f ca="1">IFERROR(__xludf.DUMMYFUNCTION("""COMPUTED_VALUE"""),"4831 (49640-037-49460)  - БАХМУТ")</f>
        <v>4831 (49640-037-49460)  - БАХМУТ</v>
      </c>
      <c r="K351">
        <f ca="1">IFERROR(__xludf.DUMMYFUNCTION("""COMPUTED_VALUE"""),49460)</f>
        <v>49460</v>
      </c>
      <c r="L351" t="str">
        <f ca="1">IFERROR(__xludf.DUMMYFUNCTION("""COMPUTED_VALUE"""),"БАХМУТ")</f>
        <v>БАХМУТ</v>
      </c>
      <c r="M351" t="str">
        <f ca="1">IFERROR(__xludf.DUMMYFUNCTION("""COMPUTED_VALUE"""),"12.08.21 07-00")</f>
        <v>12.08.21 07-00</v>
      </c>
      <c r="N351" t="str">
        <f ca="1">IFERROR(__xludf.DUMMYFUNCTION("""COMPUTED_VALUE"""),"04 РАСФ")</f>
        <v>04 РАСФ</v>
      </c>
      <c r="O351">
        <f ca="1">IFERROR(__xludf.DUMMYFUNCTION("""COMPUTED_VALUE"""),32060)</f>
        <v>32060</v>
      </c>
      <c r="P351" t="str">
        <f ca="1">IFERROR(__xludf.DUMMYFUNCTION("""COMPUTED_VALUE"""),"ПОЧАЙНА")</f>
        <v>ПОЧАЙНА</v>
      </c>
      <c r="Q351">
        <f ca="1">IFERROR(__xludf.DUMMYFUNCTION("""COMPUTED_VALUE"""),49620)</f>
        <v>49620</v>
      </c>
      <c r="R351" t="str">
        <f ca="1">IFERROR(__xludf.DUMMYFUNCTION("""COMPUTED_VALUE"""),"ДЕКОНСКАЯ")</f>
        <v>ДЕКОНСКАЯ</v>
      </c>
      <c r="S351" t="str">
        <f ca="1">IFERROR(__xludf.DUMMYFUNCTION("""COMPUTED_VALUE"""),"11.08.21 10-30")</f>
        <v>11.08.21 10-30</v>
      </c>
      <c r="T351">
        <f ca="1">IFERROR(__xludf.DUMMYFUNCTION("""COMPUTED_VALUE"""),4149)</f>
        <v>4149</v>
      </c>
      <c r="U351" t="str">
        <f ca="1">IFERROR(__xludf.DUMMYFUNCTION("""COMPUTED_VALUE"""),"30.09.2021 ДР")</f>
        <v>30.09.2021 ДР</v>
      </c>
      <c r="AA351" t="str">
        <f ca="1">IFERROR(__xludf.DUMMYFUNCTION("""COMPUTED_VALUE"""),"11-217")</f>
        <v>11-217</v>
      </c>
      <c r="AB351" t="str">
        <f ca="1">IFERROR(__xludf.DUMMYFUNCTION("""COMPUTED_VALUE"""),"40 ОД")</f>
        <v>40 ОД</v>
      </c>
      <c r="AC351" t="str">
        <f ca="1">IFERROR(__xludf.DUMMYFUNCTION("""COMPUTED_VALUE"""),"41190 ПОМОШНАЯ")</f>
        <v>41190 ПОМОШНАЯ</v>
      </c>
      <c r="AD351" t="str">
        <f ca="1">IFERROR(__xludf.DUMMYFUNCTION("""COMPUTED_VALUE"""),"17.09.19 13-00")</f>
        <v>17.09.19 13-00</v>
      </c>
      <c r="AE351" t="str">
        <f ca="1">IFERROR(__xludf.DUMMYFUNCTION("""COMPUTED_VALUE"""),"570 ИCТEК КAЛЕНДАРНЫЙ CPOК ДEПOВCКОГО PEМOНТA")</f>
        <v>570 ИCТEК КAЛЕНДАРНЫЙ CPOК ДEПOВCКОГО PEМOНТA</v>
      </c>
      <c r="AF351" t="str">
        <f ca="1">IFERROR(__xludf.DUMMYFUNCTION("""COMPUTED_VALUE"""),"40 ОД")</f>
        <v>40 ОД</v>
      </c>
      <c r="AG351" t="str">
        <f ca="1">IFERROR(__xludf.DUMMYFUNCTION("""COMPUTED_VALUE"""),"41190 ПОМОШНАЯ")</f>
        <v>41190 ПОМОШНАЯ</v>
      </c>
      <c r="AH351" t="str">
        <f ca="1">IFERROR(__xludf.DUMMYFUNCTION("""COMPUTED_VALUE"""),"30.09.19 16-30")</f>
        <v>30.09.19 16-30</v>
      </c>
      <c r="AI351" s="21">
        <f ca="1">IFERROR(__xludf.DUMMYFUNCTION("""COMPUTED_VALUE"""),44420.3583449074)</f>
        <v>44420.358344907399</v>
      </c>
    </row>
    <row r="352" spans="1:35" ht="13" x14ac:dyDescent="0.15">
      <c r="A352">
        <f ca="1">IFERROR(__xludf.DUMMYFUNCTION("""COMPUTED_VALUE"""),1687)</f>
        <v>1687</v>
      </c>
      <c r="B352" t="str">
        <f ca="1">IFERROR(__xludf.DUMMYFUNCTION("""COMPUTED_VALUE"""),"ВИК")</f>
        <v>ВИК</v>
      </c>
      <c r="C352" t="str">
        <f ca="1">IFERROR(__xludf.DUMMYFUNCTION("""COMPUTED_VALUE"""),"ВИК")</f>
        <v>ВИК</v>
      </c>
      <c r="D352">
        <f ca="1">IFERROR(__xludf.DUMMYFUNCTION("""COMPUTED_VALUE"""),24210486)</f>
        <v>24210486</v>
      </c>
      <c r="E352" t="str">
        <f ca="1">IFERROR(__xludf.DUMMYFUNCTION("""COMPUTED_VALUE"""),"20 КРЫТЫЕ")</f>
        <v>20 КРЫТЫЕ</v>
      </c>
      <c r="F352">
        <f ca="1">IFERROR(__xludf.DUMMYFUNCTION("""COMPUTED_VALUE"""),42103)</f>
        <v>42103</v>
      </c>
      <c r="G352" t="str">
        <f ca="1">IFERROR(__xludf.DUMMYFUNCTION("""COMPUTED_VALUE"""),"ВАГОНЫ ЖД СВ")</f>
        <v>ВАГОНЫ ЖД СВ</v>
      </c>
      <c r="H352">
        <f ca="1">IFERROR(__xludf.DUMMYFUNCTION("""COMPUTED_VALUE"""),0)</f>
        <v>0</v>
      </c>
      <c r="I352">
        <f ca="1">IFERROR(__xludf.DUMMYFUNCTION("""COMPUTED_VALUE"""),4149)</f>
        <v>4149</v>
      </c>
      <c r="J352" t="str">
        <f ca="1">IFERROR(__xludf.DUMMYFUNCTION("""COMPUTED_VALUE"""),"3488 (42830-099-44870) ГРЕБЕНКА - ПОЛТАВА-ЮЖН")</f>
        <v>3488 (42830-099-44870) ГРЕБЕНКА - ПОЛТАВА-ЮЖН</v>
      </c>
      <c r="K352">
        <f ca="1">IFERROR(__xludf.DUMMYFUNCTION("""COMPUTED_VALUE"""),44850)</f>
        <v>44850</v>
      </c>
      <c r="L352" t="str">
        <f ca="1">IFERROR(__xludf.DUMMYFUNCTION("""COMPUTED_VALUE"""),"ПОЛТАВА-КИЕВ")</f>
        <v>ПОЛТАВА-КИЕВ</v>
      </c>
      <c r="M352" t="str">
        <f ca="1">IFERROR(__xludf.DUMMYFUNCTION("""COMPUTED_VALUE"""),"12.08.21 05-43")</f>
        <v>12.08.21 05-43</v>
      </c>
      <c r="N352" t="str">
        <f ca="1">IFERROR(__xludf.DUMMYFUNCTION("""COMPUTED_VALUE"""),"01 ПРИБ")</f>
        <v>01 ПРИБ</v>
      </c>
      <c r="O352">
        <f ca="1">IFERROR(__xludf.DUMMYFUNCTION("""COMPUTED_VALUE"""),49620)</f>
        <v>49620</v>
      </c>
      <c r="P352" t="str">
        <f ca="1">IFERROR(__xludf.DUMMYFUNCTION("""COMPUTED_VALUE"""),"ДЕКОНСКАЯ")</f>
        <v>ДЕКОНСКАЯ</v>
      </c>
      <c r="Q352">
        <f ca="1">IFERROR(__xludf.DUMMYFUNCTION("""COMPUTED_VALUE"""),32040)</f>
        <v>32040</v>
      </c>
      <c r="R352" t="str">
        <f ca="1">IFERROR(__xludf.DUMMYFUNCTION("""COMPUTED_VALUE"""),"ГРУШКИ")</f>
        <v>ГРУШКИ</v>
      </c>
      <c r="S352" t="str">
        <f ca="1">IFERROR(__xludf.DUMMYFUNCTION("""COMPUTED_VALUE"""),"06.08.21 08-00")</f>
        <v>06.08.21 08-00</v>
      </c>
      <c r="T352">
        <f ca="1">IFERROR(__xludf.DUMMYFUNCTION("""COMPUTED_VALUE"""),4456)</f>
        <v>4456</v>
      </c>
      <c r="U352" t="str">
        <f ca="1">IFERROR(__xludf.DUMMYFUNCTION("""COMPUTED_VALUE"""),"24.06.2023 ДР")</f>
        <v>24.06.2023 ДР</v>
      </c>
      <c r="AA352" t="str">
        <f ca="1">IFERROR(__xludf.DUMMYFUNCTION("""COMPUTED_VALUE"""),"11-217")</f>
        <v>11-217</v>
      </c>
      <c r="AB352" t="str">
        <f ca="1">IFERROR(__xludf.DUMMYFUNCTION("""COMPUTED_VALUE"""),"40 ОД")</f>
        <v>40 ОД</v>
      </c>
      <c r="AC352" t="str">
        <f ca="1">IFERROR(__xludf.DUMMYFUNCTION("""COMPUTED_VALUE"""),"41190 ПОМОШНАЯ")</f>
        <v>41190 ПОМОШНАЯ</v>
      </c>
      <c r="AD352" t="str">
        <f ca="1">IFERROR(__xludf.DUMMYFUNCTION("""COMPUTED_VALUE"""),"22.06.20 18-20")</f>
        <v>22.06.20 18-20</v>
      </c>
      <c r="AE352" t="str">
        <f ca="1">IFERROR(__xludf.DUMMYFUNCTION("""COMPUTED_VALUE"""),"570 ИCТEК КAЛЕНДАРНЫЙ CPOК ДEПOВCКОГО PEМOНТA")</f>
        <v>570 ИCТEК КAЛЕНДАРНЫЙ CPOК ДEПOВCКОГО PEМOНТA</v>
      </c>
      <c r="AF352" t="str">
        <f ca="1">IFERROR(__xludf.DUMMYFUNCTION("""COMPUTED_VALUE"""),"40 ОД")</f>
        <v>40 ОД</v>
      </c>
      <c r="AG352" t="str">
        <f ca="1">IFERROR(__xludf.DUMMYFUNCTION("""COMPUTED_VALUE"""),"41190 ПОМОШНАЯ")</f>
        <v>41190 ПОМОШНАЯ</v>
      </c>
      <c r="AH352" t="str">
        <f ca="1">IFERROR(__xludf.DUMMYFUNCTION("""COMPUTED_VALUE"""),"24.06.20 17-30")</f>
        <v>24.06.20 17-30</v>
      </c>
      <c r="AI352" s="21">
        <f ca="1">IFERROR(__xludf.DUMMYFUNCTION("""COMPUTED_VALUE"""),44420.3583449074)</f>
        <v>44420.358344907399</v>
      </c>
    </row>
    <row r="353" spans="1:35" ht="13" x14ac:dyDescent="0.15">
      <c r="A353">
        <f ca="1">IFERROR(__xludf.DUMMYFUNCTION("""COMPUTED_VALUE"""),1688)</f>
        <v>1688</v>
      </c>
      <c r="B353" t="str">
        <f ca="1">IFERROR(__xludf.DUMMYFUNCTION("""COMPUTED_VALUE"""),"ВИК")</f>
        <v>ВИК</v>
      </c>
      <c r="C353" t="str">
        <f ca="1">IFERROR(__xludf.DUMMYFUNCTION("""COMPUTED_VALUE"""),"ВИК")</f>
        <v>ВИК</v>
      </c>
      <c r="D353">
        <f ca="1">IFERROR(__xludf.DUMMYFUNCTION("""COMPUTED_VALUE"""),24210502)</f>
        <v>24210502</v>
      </c>
      <c r="E353" t="str">
        <f ca="1">IFERROR(__xludf.DUMMYFUNCTION("""COMPUTED_VALUE"""),"20 КРЫТЫЕ")</f>
        <v>20 КРЫТЫЕ</v>
      </c>
      <c r="F353">
        <f ca="1">IFERROR(__xludf.DUMMYFUNCTION("""COMPUTED_VALUE"""),42103)</f>
        <v>42103</v>
      </c>
      <c r="G353" t="str">
        <f ca="1">IFERROR(__xludf.DUMMYFUNCTION("""COMPUTED_VALUE"""),"ВАГОНЫ ЖД СВ")</f>
        <v>ВАГОНЫ ЖД СВ</v>
      </c>
      <c r="H353">
        <f ca="1">IFERROR(__xludf.DUMMYFUNCTION("""COMPUTED_VALUE"""),0)</f>
        <v>0</v>
      </c>
      <c r="I353">
        <f ca="1">IFERROR(__xludf.DUMMYFUNCTION("""COMPUTED_VALUE"""),4149)</f>
        <v>4149</v>
      </c>
      <c r="J353" t="str">
        <f ca="1">IFERROR(__xludf.DUMMYFUNCTION("""COMPUTED_VALUE"""),"3488 (42830-099-44870) ГРЕБЕНКА - ПОЛТАВА-ЮЖН")</f>
        <v>3488 (42830-099-44870) ГРЕБЕНКА - ПОЛТАВА-ЮЖН</v>
      </c>
      <c r="K353">
        <f ca="1">IFERROR(__xludf.DUMMYFUNCTION("""COMPUTED_VALUE"""),44850)</f>
        <v>44850</v>
      </c>
      <c r="L353" t="str">
        <f ca="1">IFERROR(__xludf.DUMMYFUNCTION("""COMPUTED_VALUE"""),"ПОЛТАВА-КИЕВ")</f>
        <v>ПОЛТАВА-КИЕВ</v>
      </c>
      <c r="M353" t="str">
        <f ca="1">IFERROR(__xludf.DUMMYFUNCTION("""COMPUTED_VALUE"""),"12.08.21 05-43")</f>
        <v>12.08.21 05-43</v>
      </c>
      <c r="N353" t="str">
        <f ca="1">IFERROR(__xludf.DUMMYFUNCTION("""COMPUTED_VALUE"""),"01 ПРИБ")</f>
        <v>01 ПРИБ</v>
      </c>
      <c r="O353">
        <f ca="1">IFERROR(__xludf.DUMMYFUNCTION("""COMPUTED_VALUE"""),49620)</f>
        <v>49620</v>
      </c>
      <c r="P353" t="str">
        <f ca="1">IFERROR(__xludf.DUMMYFUNCTION("""COMPUTED_VALUE"""),"ДЕКОНСКАЯ")</f>
        <v>ДЕКОНСКАЯ</v>
      </c>
      <c r="Q353">
        <f ca="1">IFERROR(__xludf.DUMMYFUNCTION("""COMPUTED_VALUE"""),32040)</f>
        <v>32040</v>
      </c>
      <c r="R353" t="str">
        <f ca="1">IFERROR(__xludf.DUMMYFUNCTION("""COMPUTED_VALUE"""),"ГРУШКИ")</f>
        <v>ГРУШКИ</v>
      </c>
      <c r="S353" t="str">
        <f ca="1">IFERROR(__xludf.DUMMYFUNCTION("""COMPUTED_VALUE"""),"04.08.21 18-20")</f>
        <v>04.08.21 18-20</v>
      </c>
      <c r="T353">
        <f ca="1">IFERROR(__xludf.DUMMYFUNCTION("""COMPUTED_VALUE"""),4456)</f>
        <v>4456</v>
      </c>
      <c r="U353" t="str">
        <f ca="1">IFERROR(__xludf.DUMMYFUNCTION("""COMPUTED_VALUE"""),"11.08.2023 ДР")</f>
        <v>11.08.2023 ДР</v>
      </c>
      <c r="AA353" t="str">
        <f ca="1">IFERROR(__xludf.DUMMYFUNCTION("""COMPUTED_VALUE"""),"11-217")</f>
        <v>11-217</v>
      </c>
      <c r="AB353" t="str">
        <f ca="1">IFERROR(__xludf.DUMMYFUNCTION("""COMPUTED_VALUE"""),"40 ОД")</f>
        <v>40 ОД</v>
      </c>
      <c r="AC353" t="str">
        <f ca="1">IFERROR(__xludf.DUMMYFUNCTION("""COMPUTED_VALUE"""),"41190 ПОМОШНАЯ")</f>
        <v>41190 ПОМОШНАЯ</v>
      </c>
      <c r="AD353" t="str">
        <f ca="1">IFERROR(__xludf.DUMMYFUNCTION("""COMPUTED_VALUE"""),"09.08.20 09-00")</f>
        <v>09.08.20 09-00</v>
      </c>
      <c r="AE353" t="str">
        <f ca="1">IFERROR(__xludf.DUMMYFUNCTION("""COMPUTED_VALUE"""),"570 ИCТEК КAЛЕНДАРНЫЙ CPOК ДEПOВCКОГО PEМOНТA")</f>
        <v>570 ИCТEК КAЛЕНДАРНЫЙ CPOК ДEПOВCКОГО PEМOНТA</v>
      </c>
      <c r="AF353" t="str">
        <f ca="1">IFERROR(__xludf.DUMMYFUNCTION("""COMPUTED_VALUE"""),"40 ОД")</f>
        <v>40 ОД</v>
      </c>
      <c r="AG353" t="str">
        <f ca="1">IFERROR(__xludf.DUMMYFUNCTION("""COMPUTED_VALUE"""),"41190 ПОМОШНАЯ")</f>
        <v>41190 ПОМОШНАЯ</v>
      </c>
      <c r="AH353" t="str">
        <f ca="1">IFERROR(__xludf.DUMMYFUNCTION("""COMPUTED_VALUE"""),"11.08.20 15-00")</f>
        <v>11.08.20 15-00</v>
      </c>
      <c r="AI353" s="21">
        <f ca="1">IFERROR(__xludf.DUMMYFUNCTION("""COMPUTED_VALUE"""),44420.3583449074)</f>
        <v>44420.358344907399</v>
      </c>
    </row>
    <row r="354" spans="1:35" ht="13" x14ac:dyDescent="0.15">
      <c r="A354">
        <f ca="1">IFERROR(__xludf.DUMMYFUNCTION("""COMPUTED_VALUE"""),1689)</f>
        <v>1689</v>
      </c>
      <c r="B354" t="str">
        <f ca="1">IFERROR(__xludf.DUMMYFUNCTION("""COMPUTED_VALUE"""),"ВИК")</f>
        <v>ВИК</v>
      </c>
      <c r="C354" t="str">
        <f ca="1">IFERROR(__xludf.DUMMYFUNCTION("""COMPUTED_VALUE"""),"ВИК")</f>
        <v>ВИК</v>
      </c>
      <c r="D354">
        <f ca="1">IFERROR(__xludf.DUMMYFUNCTION("""COMPUTED_VALUE"""),24210536)</f>
        <v>24210536</v>
      </c>
      <c r="E354" t="str">
        <f ca="1">IFERROR(__xludf.DUMMYFUNCTION("""COMPUTED_VALUE"""),"20 КРЫТЫЕ")</f>
        <v>20 КРЫТЫЕ</v>
      </c>
      <c r="F354">
        <f ca="1">IFERROR(__xludf.DUMMYFUNCTION("""COMPUTED_VALUE"""),42103)</f>
        <v>42103</v>
      </c>
      <c r="G354" t="str">
        <f ca="1">IFERROR(__xludf.DUMMYFUNCTION("""COMPUTED_VALUE"""),"ВАГОНЫ ЖД СВ")</f>
        <v>ВАГОНЫ ЖД СВ</v>
      </c>
      <c r="H354">
        <f ca="1">IFERROR(__xludf.DUMMYFUNCTION("""COMPUTED_VALUE"""),0)</f>
        <v>0</v>
      </c>
      <c r="I354">
        <f ca="1">IFERROR(__xludf.DUMMYFUNCTION("""COMPUTED_VALUE"""),4149)</f>
        <v>4149</v>
      </c>
      <c r="J354" t="str">
        <f ca="1">IFERROR(__xludf.DUMMYFUNCTION("""COMPUTED_VALUE"""),"3802 (49640-063-49620)  - ДЕКОНСКАЯ")</f>
        <v>3802 (49640-063-49620)  - ДЕКОНСКАЯ</v>
      </c>
      <c r="K354">
        <f ca="1">IFERROR(__xludf.DUMMYFUNCTION("""COMPUTED_VALUE"""),49620)</f>
        <v>49620</v>
      </c>
      <c r="L354" t="str">
        <f ca="1">IFERROR(__xludf.DUMMYFUNCTION("""COMPUTED_VALUE"""),"ДЕКОНСКАЯ")</f>
        <v>ДЕКОНСКАЯ</v>
      </c>
      <c r="M354" t="str">
        <f ca="1">IFERROR(__xludf.DUMMYFUNCTION("""COMPUTED_VALUE"""),"06.08.21 21-50")</f>
        <v>06.08.21 21-50</v>
      </c>
      <c r="N354" t="str">
        <f ca="1">IFERROR(__xludf.DUMMYFUNCTION("""COMPUTED_VALUE"""),"98 ОТОТ")</f>
        <v>98 ОТОТ</v>
      </c>
      <c r="O354">
        <f ca="1">IFERROR(__xludf.DUMMYFUNCTION("""COMPUTED_VALUE"""),49620)</f>
        <v>49620</v>
      </c>
      <c r="P354" t="str">
        <f ca="1">IFERROR(__xludf.DUMMYFUNCTION("""COMPUTED_VALUE"""),"ДЕКОНСКАЯ")</f>
        <v>ДЕКОНСКАЯ</v>
      </c>
      <c r="Q354">
        <f ca="1">IFERROR(__xludf.DUMMYFUNCTION("""COMPUTED_VALUE"""),40200)</f>
        <v>40200</v>
      </c>
      <c r="R354" t="str">
        <f ca="1">IFERROR(__xludf.DUMMYFUNCTION("""COMPUTED_VALUE"""),"ЧЕРНОМОРСК-П")</f>
        <v>ЧЕРНОМОРСК-П</v>
      </c>
      <c r="S354" t="str">
        <f ca="1">IFERROR(__xludf.DUMMYFUNCTION("""COMPUTED_VALUE"""),"21.07.21 10-38")</f>
        <v>21.07.21 10-38</v>
      </c>
      <c r="T354">
        <f ca="1">IFERROR(__xludf.DUMMYFUNCTION("""COMPUTED_VALUE"""),4456)</f>
        <v>4456</v>
      </c>
      <c r="U354" t="str">
        <f ca="1">IFERROR(__xludf.DUMMYFUNCTION("""COMPUTED_VALUE"""),"10.06.2023 ДР")</f>
        <v>10.06.2023 ДР</v>
      </c>
      <c r="AA354" t="str">
        <f ca="1">IFERROR(__xludf.DUMMYFUNCTION("""COMPUTED_VALUE"""),"11-217")</f>
        <v>11-217</v>
      </c>
      <c r="AB354" t="str">
        <f ca="1">IFERROR(__xludf.DUMMYFUNCTION("""COMPUTED_VALUE"""),"40 ОД")</f>
        <v>40 ОД</v>
      </c>
      <c r="AC354" t="str">
        <f ca="1">IFERROR(__xludf.DUMMYFUNCTION("""COMPUTED_VALUE"""),"41190 ПОМОШНАЯ")</f>
        <v>41190 ПОМОШНАЯ</v>
      </c>
      <c r="AD354" t="str">
        <f ca="1">IFERROR(__xludf.DUMMYFUNCTION("""COMPUTED_VALUE"""),"28.03.21 15-00")</f>
        <v>28.03.21 15-00</v>
      </c>
      <c r="AE354" t="str">
        <f ca="1">IFERROR(__xludf.DUMMYFUNCTION("""COMPUTED_VALUE"""),"570 ИCТEК КAЛЕНДАРНЫЙ CPOК ДEПOВCКОГО PEМOНТA")</f>
        <v>570 ИCТEК КAЛЕНДАРНЫЙ CPOК ДEПOВCКОГО PEМOНТA</v>
      </c>
      <c r="AF354" t="str">
        <f ca="1">IFERROR(__xludf.DUMMYFUNCTION("""COMPUTED_VALUE"""),"40 ОД")</f>
        <v>40 ОД</v>
      </c>
      <c r="AG354" t="str">
        <f ca="1">IFERROR(__xludf.DUMMYFUNCTION("""COMPUTED_VALUE"""),"41190 ПОМОШНАЯ")</f>
        <v>41190 ПОМОШНАЯ</v>
      </c>
      <c r="AH354" t="str">
        <f ca="1">IFERROR(__xludf.DUMMYFUNCTION("""COMPUTED_VALUE"""),"10.06.21 18-00")</f>
        <v>10.06.21 18-00</v>
      </c>
      <c r="AI354" s="21">
        <f ca="1">IFERROR(__xludf.DUMMYFUNCTION("""COMPUTED_VALUE"""),44420.3583449074)</f>
        <v>44420.358344907399</v>
      </c>
    </row>
    <row r="355" spans="1:35" ht="13" x14ac:dyDescent="0.15">
      <c r="A355">
        <f ca="1">IFERROR(__xludf.DUMMYFUNCTION("""COMPUTED_VALUE"""),1690)</f>
        <v>1690</v>
      </c>
      <c r="B355" t="str">
        <f ca="1">IFERROR(__xludf.DUMMYFUNCTION("""COMPUTED_VALUE"""),"ВИК")</f>
        <v>ВИК</v>
      </c>
      <c r="C355" t="str">
        <f ca="1">IFERROR(__xludf.DUMMYFUNCTION("""COMPUTED_VALUE"""),"ВИК")</f>
        <v>ВИК</v>
      </c>
      <c r="D355">
        <f ca="1">IFERROR(__xludf.DUMMYFUNCTION("""COMPUTED_VALUE"""),24210577)</f>
        <v>24210577</v>
      </c>
      <c r="E355" t="str">
        <f ca="1">IFERROR(__xludf.DUMMYFUNCTION("""COMPUTED_VALUE"""),"20 КРЫТЫЕ")</f>
        <v>20 КРЫТЫЕ</v>
      </c>
      <c r="F355">
        <f ca="1">IFERROR(__xludf.DUMMYFUNCTION("""COMPUTED_VALUE"""),42119)</f>
        <v>42119</v>
      </c>
      <c r="G355" t="str">
        <f ca="1">IFERROR(__xludf.DUMMYFUNCTION("""COMPUTED_VALUE"""),"ВАГОНЫ ЖД РЕМОН")</f>
        <v>ВАГОНЫ ЖД РЕМОН</v>
      </c>
      <c r="H355">
        <f ca="1">IFERROR(__xludf.DUMMYFUNCTION("""COMPUTED_VALUE"""),0)</f>
        <v>0</v>
      </c>
      <c r="I355">
        <f ca="1">IFERROR(__xludf.DUMMYFUNCTION("""COMPUTED_VALUE"""),9796)</f>
        <v>9796</v>
      </c>
      <c r="J355" t="str">
        <f ca="1">IFERROR(__xludf.DUMMYFUNCTION("""COMPUTED_VALUE"""),"3656 (32060-582-32000) ПОЧАЙНА - ДАРНИЦА")</f>
        <v>3656 (32060-582-32000) ПОЧАЙНА - ДАРНИЦА</v>
      </c>
      <c r="K355">
        <f ca="1">IFERROR(__xludf.DUMMYFUNCTION("""COMPUTED_VALUE"""),32000)</f>
        <v>32000</v>
      </c>
      <c r="L355" t="str">
        <f ca="1">IFERROR(__xludf.DUMMYFUNCTION("""COMPUTED_VALUE"""),"ДАРНИЦА")</f>
        <v>ДАРНИЦА</v>
      </c>
      <c r="M355" t="str">
        <f ca="1">IFERROR(__xludf.DUMMYFUNCTION("""COMPUTED_VALUE"""),"12.08.21 03-03")</f>
        <v>12.08.21 03-03</v>
      </c>
      <c r="N355" t="str">
        <f ca="1">IFERROR(__xludf.DUMMYFUNCTION("""COMPUTED_VALUE"""),"04 РАСФ")</f>
        <v>04 РАСФ</v>
      </c>
      <c r="O355">
        <f ca="1">IFERROR(__xludf.DUMMYFUNCTION("""COMPUTED_VALUE"""),41190)</f>
        <v>41190</v>
      </c>
      <c r="P355" t="str">
        <f ca="1">IFERROR(__xludf.DUMMYFUNCTION("""COMPUTED_VALUE"""),"ПОМОШНАЯ")</f>
        <v>ПОМОШНАЯ</v>
      </c>
      <c r="Q355">
        <f ca="1">IFERROR(__xludf.DUMMYFUNCTION("""COMPUTED_VALUE"""),32060)</f>
        <v>32060</v>
      </c>
      <c r="R355" t="str">
        <f ca="1">IFERROR(__xludf.DUMMYFUNCTION("""COMPUTED_VALUE"""),"ПОЧАЙНА")</f>
        <v>ПОЧАЙНА</v>
      </c>
      <c r="S355" t="str">
        <f ca="1">IFERROR(__xludf.DUMMYFUNCTION("""COMPUTED_VALUE"""),"10.08.21 10-40")</f>
        <v>10.08.21 10-40</v>
      </c>
      <c r="T355">
        <f ca="1">IFERROR(__xludf.DUMMYFUNCTION("""COMPUTED_VALUE"""),4456)</f>
        <v>4456</v>
      </c>
      <c r="U355" t="str">
        <f ca="1">IFERROR(__xludf.DUMMYFUNCTION("""COMPUTED_VALUE"""),"24.08.2021 ТР-1")</f>
        <v>24.08.2021 ТР-1</v>
      </c>
      <c r="AA355" t="str">
        <f ca="1">IFERROR(__xludf.DUMMYFUNCTION("""COMPUTED_VALUE"""),"11-217")</f>
        <v>11-217</v>
      </c>
      <c r="AB355" t="str">
        <f ca="1">IFERROR(__xludf.DUMMYFUNCTION("""COMPUTED_VALUE"""),"43 ЮЖН")</f>
        <v>43 ЮЖН</v>
      </c>
      <c r="AC355" t="str">
        <f ca="1">IFERROR(__xludf.DUMMYFUNCTION("""COMPUTED_VALUE"""),"44020 ОСНОВА")</f>
        <v>44020 ОСНОВА</v>
      </c>
      <c r="AD355" t="str">
        <f ca="1">IFERROR(__xludf.DUMMYFUNCTION("""COMPUTED_VALUE"""),"20.06.21 03-45")</f>
        <v>20.06.21 03-45</v>
      </c>
      <c r="AE355" t="str">
        <f ca="1">IFERROR(__xludf.DUMMYFUNCTION("""COMPUTED_VALUE"""),"537 НEИCПPAВНOCТЬ ЗAПOPA ДВEPИ")</f>
        <v>537 НEИCПPAВНOCТЬ ЗAПOPA ДВEPИ</v>
      </c>
      <c r="AF355" t="str">
        <f ca="1">IFERROR(__xludf.DUMMYFUNCTION("""COMPUTED_VALUE"""),"43 ЮЖН")</f>
        <v>43 ЮЖН</v>
      </c>
      <c r="AG355" t="str">
        <f ca="1">IFERROR(__xludf.DUMMYFUNCTION("""COMPUTED_VALUE"""),"44020 ОСНОВА")</f>
        <v>44020 ОСНОВА</v>
      </c>
      <c r="AH355" t="str">
        <f ca="1">IFERROR(__xludf.DUMMYFUNCTION("""COMPUTED_VALUE"""),"22.06.21 17-20")</f>
        <v>22.06.21 17-20</v>
      </c>
      <c r="AI355" s="21">
        <f ca="1">IFERROR(__xludf.DUMMYFUNCTION("""COMPUTED_VALUE"""),44420.3583449074)</f>
        <v>44420.358344907399</v>
      </c>
    </row>
    <row r="356" spans="1:35" ht="13" x14ac:dyDescent="0.15">
      <c r="A356">
        <f ca="1">IFERROR(__xludf.DUMMYFUNCTION("""COMPUTED_VALUE"""),1691)</f>
        <v>1691</v>
      </c>
      <c r="B356" t="str">
        <f ca="1">IFERROR(__xludf.DUMMYFUNCTION("""COMPUTED_VALUE"""),"ВИК")</f>
        <v>ВИК</v>
      </c>
      <c r="C356" t="str">
        <f ca="1">IFERROR(__xludf.DUMMYFUNCTION("""COMPUTED_VALUE"""),"ВИК")</f>
        <v>ВИК</v>
      </c>
      <c r="D356">
        <f ca="1">IFERROR(__xludf.DUMMYFUNCTION("""COMPUTED_VALUE"""),24301145)</f>
        <v>24301145</v>
      </c>
      <c r="E356" t="str">
        <f ca="1">IFERROR(__xludf.DUMMYFUNCTION("""COMPUTED_VALUE"""),"20 КРЫТЫЕ")</f>
        <v>20 КРЫТЫЕ</v>
      </c>
      <c r="F356">
        <f ca="1">IFERROR(__xludf.DUMMYFUNCTION("""COMPUTED_VALUE"""),23304)</f>
        <v>23304</v>
      </c>
      <c r="G356" t="str">
        <f ca="1">IFERROR(__xludf.DUMMYFUNCTION("""COMPUTED_VALUE"""),"ГИПС ПР")</f>
        <v>ГИПС ПР</v>
      </c>
      <c r="H356">
        <f ca="1">IFERROR(__xludf.DUMMYFUNCTION("""COMPUTED_VALUE"""),68)</f>
        <v>68</v>
      </c>
      <c r="I356">
        <f ca="1">IFERROR(__xludf.DUMMYFUNCTION("""COMPUTED_VALUE"""),3817)</f>
        <v>3817</v>
      </c>
      <c r="J356" t="str">
        <f ca="1">IFERROR(__xludf.DUMMYFUNCTION("""COMPUTED_VALUE"""),"1111 (49460-043-49000) БАХМУТ - ЛИМАН")</f>
        <v>1111 (49460-043-49000) БАХМУТ - ЛИМАН</v>
      </c>
      <c r="K356">
        <f ca="1">IFERROR(__xludf.DUMMYFUNCTION("""COMPUTED_VALUE"""),49460)</f>
        <v>49460</v>
      </c>
      <c r="L356" t="str">
        <f ca="1">IFERROR(__xludf.DUMMYFUNCTION("""COMPUTED_VALUE"""),"БАХМУТ")</f>
        <v>БАХМУТ</v>
      </c>
      <c r="M356" t="str">
        <f ca="1">IFERROR(__xludf.DUMMYFUNCTION("""COMPUTED_VALUE"""),"12.08.21 04-00")</f>
        <v>12.08.21 04-00</v>
      </c>
      <c r="N356" t="str">
        <f ca="1">IFERROR(__xludf.DUMMYFUNCTION("""COMPUTED_VALUE"""),"05 ФОРМ")</f>
        <v>05 ФОРМ</v>
      </c>
      <c r="O356">
        <f ca="1">IFERROR(__xludf.DUMMYFUNCTION("""COMPUTED_VALUE"""),40510)</f>
        <v>40510</v>
      </c>
      <c r="P356" t="str">
        <f ca="1">IFERROR(__xludf.DUMMYFUNCTION("""COMPUTED_VALUE"""),"ОДЕССА-ЗАС I")</f>
        <v>ОДЕССА-ЗАС I</v>
      </c>
      <c r="Q356">
        <f ca="1">IFERROR(__xludf.DUMMYFUNCTION("""COMPUTED_VALUE"""),49620)</f>
        <v>49620</v>
      </c>
      <c r="R356" t="str">
        <f ca="1">IFERROR(__xludf.DUMMYFUNCTION("""COMPUTED_VALUE"""),"ДЕКОНСКАЯ")</f>
        <v>ДЕКОНСКАЯ</v>
      </c>
      <c r="S356" t="str">
        <f ca="1">IFERROR(__xludf.DUMMYFUNCTION("""COMPUTED_VALUE"""),"11.08.21 09-30")</f>
        <v>11.08.21 09-30</v>
      </c>
      <c r="T356">
        <f ca="1">IFERROR(__xludf.DUMMYFUNCTION("""COMPUTED_VALUE"""),4149)</f>
        <v>4149</v>
      </c>
      <c r="U356" t="str">
        <f ca="1">IFERROR(__xludf.DUMMYFUNCTION("""COMPUTED_VALUE"""),"15.09.2021 ДР")</f>
        <v>15.09.2021 ДР</v>
      </c>
      <c r="AA356" t="str">
        <f ca="1">IFERROR(__xludf.DUMMYFUNCTION("""COMPUTED_VALUE"""),"11-217")</f>
        <v>11-217</v>
      </c>
      <c r="AB356" t="str">
        <f ca="1">IFERROR(__xludf.DUMMYFUNCTION("""COMPUTED_VALUE"""),"40 ОД")</f>
        <v>40 ОД</v>
      </c>
      <c r="AC356" t="str">
        <f ca="1">IFERROR(__xludf.DUMMYFUNCTION("""COMPUTED_VALUE"""),"41190 ПОМОШНАЯ")</f>
        <v>41190 ПОМОШНАЯ</v>
      </c>
      <c r="AD356" t="str">
        <f ca="1">IFERROR(__xludf.DUMMYFUNCTION("""COMPUTED_VALUE"""),"09.09.20 09-00")</f>
        <v>09.09.20 09-00</v>
      </c>
      <c r="AE356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356" t="str">
        <f ca="1">IFERROR(__xludf.DUMMYFUNCTION("""COMPUTED_VALUE"""),"40 ОД")</f>
        <v>40 ОД</v>
      </c>
      <c r="AG356" t="str">
        <f ca="1">IFERROR(__xludf.DUMMYFUNCTION("""COMPUTED_VALUE"""),"41190 ПОМОШНАЯ")</f>
        <v>41190 ПОМОШНАЯ</v>
      </c>
      <c r="AH356" t="str">
        <f ca="1">IFERROR(__xludf.DUMMYFUNCTION("""COMPUTED_VALUE"""),"15.09.20 16-30")</f>
        <v>15.09.20 16-30</v>
      </c>
      <c r="AI356" s="21">
        <f ca="1">IFERROR(__xludf.DUMMYFUNCTION("""COMPUTED_VALUE"""),44420.3583449074)</f>
        <v>44420.358344907399</v>
      </c>
    </row>
    <row r="357" spans="1:35" ht="13" x14ac:dyDescent="0.15">
      <c r="A357">
        <f ca="1">IFERROR(__xludf.DUMMYFUNCTION("""COMPUTED_VALUE"""),1692)</f>
        <v>1692</v>
      </c>
      <c r="B357" t="str">
        <f ca="1">IFERROR(__xludf.DUMMYFUNCTION("""COMPUTED_VALUE"""),"ВИК")</f>
        <v>ВИК</v>
      </c>
      <c r="C357" t="str">
        <f ca="1">IFERROR(__xludf.DUMMYFUNCTION("""COMPUTED_VALUE"""),"ВИК")</f>
        <v>ВИК</v>
      </c>
      <c r="D357">
        <f ca="1">IFERROR(__xludf.DUMMYFUNCTION("""COMPUTED_VALUE"""),24334963)</f>
        <v>24334963</v>
      </c>
      <c r="E357" t="str">
        <f ca="1">IFERROR(__xludf.DUMMYFUNCTION("""COMPUTED_VALUE"""),"20 КРЫТЫЕ")</f>
        <v>20 КРЫТЫЕ</v>
      </c>
      <c r="F357">
        <f ca="1">IFERROR(__xludf.DUMMYFUNCTION("""COMPUTED_VALUE"""),43619)</f>
        <v>43619</v>
      </c>
      <c r="G357" t="str">
        <f ca="1">IFERROR(__xludf.DUMMYFUNCTION("""COMPUTED_VALUE"""),"УДОБР ХИМ ПР")</f>
        <v>УДОБР ХИМ ПР</v>
      </c>
      <c r="H357">
        <f ca="1">IFERROR(__xludf.DUMMYFUNCTION("""COMPUTED_VALUE"""),68)</f>
        <v>68</v>
      </c>
      <c r="I357">
        <f ca="1">IFERROR(__xludf.DUMMYFUNCTION("""COMPUTED_VALUE"""),5539)</f>
        <v>5539</v>
      </c>
      <c r="J357" t="str">
        <f ca="1">IFERROR(__xludf.DUMMYFUNCTION("""COMPUTED_VALUE"""),"3603 (35400-082-35310) КОВЕЛЬ - ИВАНИЧИ")</f>
        <v>3603 (35400-082-35310) КОВЕЛЬ - ИВАНИЧИ</v>
      </c>
      <c r="K357">
        <f ca="1">IFERROR(__xludf.DUMMYFUNCTION("""COMPUTED_VALUE"""),35400)</f>
        <v>35400</v>
      </c>
      <c r="L357" t="str">
        <f ca="1">IFERROR(__xludf.DUMMYFUNCTION("""COMPUTED_VALUE"""),"КОВЕЛЬ")</f>
        <v>КОВЕЛЬ</v>
      </c>
      <c r="M357" t="str">
        <f ca="1">IFERROR(__xludf.DUMMYFUNCTION("""COMPUTED_VALUE"""),"11.08.21 17-28")</f>
        <v>11.08.21 17-28</v>
      </c>
      <c r="N357" t="str">
        <f ca="1">IFERROR(__xludf.DUMMYFUNCTION("""COMPUTED_VALUE"""),"85 ПРСТ")</f>
        <v>85 ПРСТ</v>
      </c>
      <c r="O357">
        <f ca="1">IFERROR(__xludf.DUMMYFUNCTION("""COMPUTED_VALUE"""),37170)</f>
        <v>37170</v>
      </c>
      <c r="P357" t="str">
        <f ca="1">IFERROR(__xludf.DUMMYFUNCTION("""COMPUTED_VALUE"""),"РАДЕХОВ")</f>
        <v>РАДЕХОВ</v>
      </c>
      <c r="Q357">
        <f ca="1">IFERROR(__xludf.DUMMYFUNCTION("""COMPUTED_VALUE"""),35260)</f>
        <v>35260</v>
      </c>
      <c r="R357" t="str">
        <f ca="1">IFERROR(__xludf.DUMMYFUNCTION("""COMPUTED_VALUE"""),"ИЗОВ-Э-ПКП")</f>
        <v>ИЗОВ-Э-ПКП</v>
      </c>
      <c r="S357" t="str">
        <f ca="1">IFERROR(__xludf.DUMMYFUNCTION("""COMPUTED_VALUE"""),"10.08.21 16-15")</f>
        <v>10.08.21 16-15</v>
      </c>
      <c r="U357" t="str">
        <f ca="1">IFERROR(__xludf.DUMMYFUNCTION("""COMPUTED_VALUE"""),"15.09.2022 ДР")</f>
        <v>15.09.2022 ДР</v>
      </c>
      <c r="AA357" t="str">
        <f ca="1">IFERROR(__xludf.DUMMYFUNCTION("""COMPUTED_VALUE"""),"11-217")</f>
        <v>11-217</v>
      </c>
      <c r="AB357" t="str">
        <f ca="1">IFERROR(__xludf.DUMMYFUNCTION("""COMPUTED_VALUE"""),"40 ОД")</f>
        <v>40 ОД</v>
      </c>
      <c r="AC357" t="str">
        <f ca="1">IFERROR(__xludf.DUMMYFUNCTION("""COMPUTED_VALUE"""),"41190 ПОМОШНАЯ")</f>
        <v>41190 ПОМОШНАЯ</v>
      </c>
      <c r="AD357" t="str">
        <f ca="1">IFERROR(__xludf.DUMMYFUNCTION("""COMPUTED_VALUE"""),"27.03.21 07-55")</f>
        <v>27.03.21 07-55</v>
      </c>
      <c r="AE357" t="str">
        <f ca="1">IFERROR(__xludf.DUMMYFUNCTION("""COMPUTED_VALUE"""),"102 ТOНКИЙ ГPEБEНЬ")</f>
        <v>102 ТOНКИЙ ГPEБEНЬ</v>
      </c>
      <c r="AF357" t="str">
        <f ca="1">IFERROR(__xludf.DUMMYFUNCTION("""COMPUTED_VALUE"""),"40 ОД")</f>
        <v>40 ОД</v>
      </c>
      <c r="AG357" t="str">
        <f ca="1">IFERROR(__xludf.DUMMYFUNCTION("""COMPUTED_VALUE"""),"41190 ПОМОШНАЯ")</f>
        <v>41190 ПОМОШНАЯ</v>
      </c>
      <c r="AH357" t="str">
        <f ca="1">IFERROR(__xludf.DUMMYFUNCTION("""COMPUTED_VALUE"""),"27.03.21 15-05")</f>
        <v>27.03.21 15-05</v>
      </c>
      <c r="AI357" s="21">
        <f ca="1">IFERROR(__xludf.DUMMYFUNCTION("""COMPUTED_VALUE"""),44420.3583449074)</f>
        <v>44420.358344907399</v>
      </c>
    </row>
    <row r="358" spans="1:35" ht="13" x14ac:dyDescent="0.15">
      <c r="A358">
        <f ca="1">IFERROR(__xludf.DUMMYFUNCTION("""COMPUTED_VALUE"""),1693)</f>
        <v>1693</v>
      </c>
      <c r="B358" t="str">
        <f ca="1">IFERROR(__xludf.DUMMYFUNCTION("""COMPUTED_VALUE"""),"ВИК")</f>
        <v>ВИК</v>
      </c>
      <c r="C358" t="str">
        <f ca="1">IFERROR(__xludf.DUMMYFUNCTION("""COMPUTED_VALUE"""),"ВИК")</f>
        <v>ВИК</v>
      </c>
      <c r="D358">
        <f ca="1">IFERROR(__xludf.DUMMYFUNCTION("""COMPUTED_VALUE"""),24342164)</f>
        <v>24342164</v>
      </c>
      <c r="E358" t="str">
        <f ca="1">IFERROR(__xludf.DUMMYFUNCTION("""COMPUTED_VALUE"""),"20 КРЫТЫЕ")</f>
        <v>20 КРЫТЫЕ</v>
      </c>
      <c r="F358">
        <f ca="1">IFERROR(__xludf.DUMMYFUNCTION("""COMPUTED_VALUE"""),42103)</f>
        <v>42103</v>
      </c>
      <c r="G358" t="str">
        <f ca="1">IFERROR(__xludf.DUMMYFUNCTION("""COMPUTED_VALUE"""),"ВАГОНЫ ЖД СВ")</f>
        <v>ВАГОНЫ ЖД СВ</v>
      </c>
      <c r="H358">
        <f ca="1">IFERROR(__xludf.DUMMYFUNCTION("""COMPUTED_VALUE"""),0)</f>
        <v>0</v>
      </c>
      <c r="I358">
        <f ca="1">IFERROR(__xludf.DUMMYFUNCTION("""COMPUTED_VALUE"""),4714)</f>
        <v>4714</v>
      </c>
      <c r="J358" t="str">
        <f ca="1">IFERROR(__xludf.DUMMYFUNCTION("""COMPUTED_VALUE"""),"3574 (49460-087-49000) БАХМУТ - ЛИМАН")</f>
        <v>3574 (49460-087-49000) БАХМУТ - ЛИМАН</v>
      </c>
      <c r="K358">
        <f ca="1">IFERROR(__xludf.DUMMYFUNCTION("""COMPUTED_VALUE"""),49480)</f>
        <v>49480</v>
      </c>
      <c r="L358" t="str">
        <f ca="1">IFERROR(__xludf.DUMMYFUNCTION("""COMPUTED_VALUE"""),"СОЛЬ")</f>
        <v>СОЛЬ</v>
      </c>
      <c r="M358" t="str">
        <f ca="1">IFERROR(__xludf.DUMMYFUNCTION("""COMPUTED_VALUE"""),"29.07.21 13-00")</f>
        <v>29.07.21 13-00</v>
      </c>
      <c r="N358" t="str">
        <f ca="1">IFERROR(__xludf.DUMMYFUNCTION("""COMPUTED_VALUE"""),"98 ОТОТ")</f>
        <v>98 ОТОТ</v>
      </c>
      <c r="O358">
        <f ca="1">IFERROR(__xludf.DUMMYFUNCTION("""COMPUTED_VALUE"""),49480)</f>
        <v>49480</v>
      </c>
      <c r="P358" t="str">
        <f ca="1">IFERROR(__xludf.DUMMYFUNCTION("""COMPUTED_VALUE"""),"СОЛЬ")</f>
        <v>СОЛЬ</v>
      </c>
      <c r="Q358">
        <f ca="1">IFERROR(__xludf.DUMMYFUNCTION("""COMPUTED_VALUE"""),32060)</f>
        <v>32060</v>
      </c>
      <c r="R358" t="str">
        <f ca="1">IFERROR(__xludf.DUMMYFUNCTION("""COMPUTED_VALUE"""),"ПОЧАЙНА")</f>
        <v>ПОЧАЙНА</v>
      </c>
      <c r="S358" t="str">
        <f ca="1">IFERROR(__xludf.DUMMYFUNCTION("""COMPUTED_VALUE"""),"19.07.21 12-00")</f>
        <v>19.07.21 12-00</v>
      </c>
      <c r="T358">
        <f ca="1">IFERROR(__xludf.DUMMYFUNCTION("""COMPUTED_VALUE"""),4456)</f>
        <v>4456</v>
      </c>
      <c r="U358" t="str">
        <f ca="1">IFERROR(__xludf.DUMMYFUNCTION("""COMPUTED_VALUE"""),"23.04.2022 ДР")</f>
        <v>23.04.2022 ДР</v>
      </c>
      <c r="AA358" t="str">
        <f ca="1">IFERROR(__xludf.DUMMYFUNCTION("""COMPUTED_VALUE"""),"11-217")</f>
        <v>11-217</v>
      </c>
      <c r="AB358" t="str">
        <f ca="1">IFERROR(__xludf.DUMMYFUNCTION("""COMPUTED_VALUE"""),"43 ЮЖН")</f>
        <v>43 ЮЖН</v>
      </c>
      <c r="AC358" t="str">
        <f ca="1">IFERROR(__xludf.DUMMYFUNCTION("""COMPUTED_VALUE"""),"44560 БАСЫ")</f>
        <v>44560 БАСЫ</v>
      </c>
      <c r="AD358" t="str">
        <f ca="1">IFERROR(__xludf.DUMMYFUNCTION("""COMPUTED_VALUE"""),"22.09.19 19-20")</f>
        <v>22.09.19 19-20</v>
      </c>
      <c r="AE358" t="str">
        <f ca="1">IFERROR(__xludf.DUMMYFUNCTION("""COMPUTED_VALUE"""),"537 НEИCПPAВНOCТЬ ЗAПOPA ДВEPИ")</f>
        <v>537 НEИCПPAВНOCТЬ ЗAПOPA ДВEPИ</v>
      </c>
      <c r="AF358" t="str">
        <f ca="1">IFERROR(__xludf.DUMMYFUNCTION("""COMPUTED_VALUE"""),"43 ЮЖН")</f>
        <v>43 ЮЖН</v>
      </c>
      <c r="AG358" t="str">
        <f ca="1">IFERROR(__xludf.DUMMYFUNCTION("""COMPUTED_VALUE"""),"44560 БАСЫ")</f>
        <v>44560 БАСЫ</v>
      </c>
      <c r="AH358" t="str">
        <f ca="1">IFERROR(__xludf.DUMMYFUNCTION("""COMPUTED_VALUE"""),"23.09.19 16-00")</f>
        <v>23.09.19 16-00</v>
      </c>
      <c r="AI358" s="21">
        <f ca="1">IFERROR(__xludf.DUMMYFUNCTION("""COMPUTED_VALUE"""),44420.3583449074)</f>
        <v>44420.358344907399</v>
      </c>
    </row>
    <row r="359" spans="1:35" ht="13" x14ac:dyDescent="0.15">
      <c r="A359">
        <f ca="1">IFERROR(__xludf.DUMMYFUNCTION("""COMPUTED_VALUE"""),1694)</f>
        <v>1694</v>
      </c>
      <c r="B359" t="str">
        <f ca="1">IFERROR(__xludf.DUMMYFUNCTION("""COMPUTED_VALUE"""),"ВИК")</f>
        <v>ВИК</v>
      </c>
      <c r="C359" t="str">
        <f ca="1">IFERROR(__xludf.DUMMYFUNCTION("""COMPUTED_VALUE"""),"ВИК")</f>
        <v>ВИК</v>
      </c>
      <c r="D359">
        <f ca="1">IFERROR(__xludf.DUMMYFUNCTION("""COMPUTED_VALUE"""),24343121)</f>
        <v>24343121</v>
      </c>
      <c r="E359" t="str">
        <f ca="1">IFERROR(__xludf.DUMMYFUNCTION("""COMPUTED_VALUE"""),"20 КРЫТЫЕ")</f>
        <v>20 КРЫТЫЕ</v>
      </c>
      <c r="F359">
        <f ca="1">IFERROR(__xludf.DUMMYFUNCTION("""COMPUTED_VALUE"""),42103)</f>
        <v>42103</v>
      </c>
      <c r="G359" t="str">
        <f ca="1">IFERROR(__xludf.DUMMYFUNCTION("""COMPUTED_VALUE"""),"ВАГОНЫ ЖД СВ")</f>
        <v>ВАГОНЫ ЖД СВ</v>
      </c>
      <c r="H359">
        <f ca="1">IFERROR(__xludf.DUMMYFUNCTION("""COMPUTED_VALUE"""),65)</f>
        <v>65</v>
      </c>
      <c r="I359">
        <f ca="1">IFERROR(__xludf.DUMMYFUNCTION("""COMPUTED_VALUE"""),6302)</f>
        <v>6302</v>
      </c>
      <c r="J359" t="str">
        <f ca="1">IFERROR(__xludf.DUMMYFUNCTION("""COMPUTED_VALUE"""),"3802 (49460-038-49640) БАХМУТ -")</f>
        <v>3802 (49460-038-49640) БАХМУТ -</v>
      </c>
      <c r="K359">
        <f ca="1">IFERROR(__xludf.DUMMYFUNCTION("""COMPUTED_VALUE"""),49620)</f>
        <v>49620</v>
      </c>
      <c r="L359" t="str">
        <f ca="1">IFERROR(__xludf.DUMMYFUNCTION("""COMPUTED_VALUE"""),"ДЕКОНСКАЯ")</f>
        <v>ДЕКОНСКАЯ</v>
      </c>
      <c r="M359" t="str">
        <f ca="1">IFERROR(__xludf.DUMMYFUNCTION("""COMPUTED_VALUE"""),"10.08.21 21-00")</f>
        <v>10.08.21 21-00</v>
      </c>
      <c r="N359" t="str">
        <f ca="1">IFERROR(__xludf.DUMMYFUNCTION("""COMPUTED_VALUE"""),"98 ОТОТ")</f>
        <v>98 ОТОТ</v>
      </c>
      <c r="O359">
        <f ca="1">IFERROR(__xludf.DUMMYFUNCTION("""COMPUTED_VALUE"""),49620)</f>
        <v>49620</v>
      </c>
      <c r="P359" t="str">
        <f ca="1">IFERROR(__xludf.DUMMYFUNCTION("""COMPUTED_VALUE"""),"ДЕКОНСКАЯ")</f>
        <v>ДЕКОНСКАЯ</v>
      </c>
      <c r="Q359">
        <f ca="1">IFERROR(__xludf.DUMMYFUNCTION("""COMPUTED_VALUE"""),40200)</f>
        <v>40200</v>
      </c>
      <c r="R359" t="str">
        <f ca="1">IFERROR(__xludf.DUMMYFUNCTION("""COMPUTED_VALUE"""),"ЧЕРНОМОРСК-П")</f>
        <v>ЧЕРНОМОРСК-П</v>
      </c>
      <c r="S359" t="str">
        <f ca="1">IFERROR(__xludf.DUMMYFUNCTION("""COMPUTED_VALUE"""),"20.07.21 16-20")</f>
        <v>20.07.21 16-20</v>
      </c>
      <c r="T359">
        <f ca="1">IFERROR(__xludf.DUMMYFUNCTION("""COMPUTED_VALUE"""),0)</f>
        <v>0</v>
      </c>
      <c r="U359" t="str">
        <f ca="1">IFERROR(__xludf.DUMMYFUNCTION("""COMPUTED_VALUE"""),"21.10.2022 ДР")</f>
        <v>21.10.2022 ДР</v>
      </c>
      <c r="AA359" t="str">
        <f ca="1">IFERROR(__xludf.DUMMYFUNCTION("""COMPUTED_VALUE"""),"11-217")</f>
        <v>11-217</v>
      </c>
      <c r="AB359" t="str">
        <f ca="1">IFERROR(__xludf.DUMMYFUNCTION("""COMPUTED_VALUE"""),"40 ОД")</f>
        <v>40 ОД</v>
      </c>
      <c r="AC359" t="str">
        <f ca="1">IFERROR(__xludf.DUMMYFUNCTION("""COMPUTED_VALUE"""),"41190 ПОМОШНАЯ")</f>
        <v>41190 ПОМОШНАЯ</v>
      </c>
      <c r="AD359" t="str">
        <f ca="1">IFERROR(__xludf.DUMMYFUNCTION("""COMPUTED_VALUE"""),"19.10.20 08-00")</f>
        <v>19.10.20 08-00</v>
      </c>
      <c r="AE359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359" t="str">
        <f ca="1">IFERROR(__xludf.DUMMYFUNCTION("""COMPUTED_VALUE"""),"40 ОД")</f>
        <v>40 ОД</v>
      </c>
      <c r="AG359" t="str">
        <f ca="1">IFERROR(__xludf.DUMMYFUNCTION("""COMPUTED_VALUE"""),"41190 ПОМОШНАЯ")</f>
        <v>41190 ПОМОШНАЯ</v>
      </c>
      <c r="AH359" t="str">
        <f ca="1">IFERROR(__xludf.DUMMYFUNCTION("""COMPUTED_VALUE"""),"21.10.20 18-30")</f>
        <v>21.10.20 18-30</v>
      </c>
      <c r="AI359" s="21">
        <f ca="1">IFERROR(__xludf.DUMMYFUNCTION("""COMPUTED_VALUE"""),44420.3583449074)</f>
        <v>44420.358344907399</v>
      </c>
    </row>
    <row r="360" spans="1:35" ht="13" x14ac:dyDescent="0.15">
      <c r="A360">
        <f ca="1">IFERROR(__xludf.DUMMYFUNCTION("""COMPUTED_VALUE"""),1695)</f>
        <v>1695</v>
      </c>
      <c r="B360" t="str">
        <f ca="1">IFERROR(__xludf.DUMMYFUNCTION("""COMPUTED_VALUE"""),"ВИК")</f>
        <v>ВИК</v>
      </c>
      <c r="C360" t="str">
        <f ca="1">IFERROR(__xludf.DUMMYFUNCTION("""COMPUTED_VALUE"""),"ВИК")</f>
        <v>ВИК</v>
      </c>
      <c r="D360">
        <f ca="1">IFERROR(__xludf.DUMMYFUNCTION("""COMPUTED_VALUE"""),24344020)</f>
        <v>24344020</v>
      </c>
      <c r="E360" t="str">
        <f ca="1">IFERROR(__xludf.DUMMYFUNCTION("""COMPUTED_VALUE"""),"20 КРЫТЫЕ")</f>
        <v>20 КРЫТЫЕ</v>
      </c>
      <c r="F360">
        <f ca="1">IFERROR(__xludf.DUMMYFUNCTION("""COMPUTED_VALUE"""),42103)</f>
        <v>42103</v>
      </c>
      <c r="G360" t="str">
        <f ca="1">IFERROR(__xludf.DUMMYFUNCTION("""COMPUTED_VALUE"""),"ВАГОНЫ ЖД СВ")</f>
        <v>ВАГОНЫ ЖД СВ</v>
      </c>
      <c r="H360">
        <f ca="1">IFERROR(__xludf.DUMMYFUNCTION("""COMPUTED_VALUE"""),0)</f>
        <v>0</v>
      </c>
      <c r="I360">
        <f ca="1">IFERROR(__xludf.DUMMYFUNCTION("""COMPUTED_VALUE"""),4149)</f>
        <v>4149</v>
      </c>
      <c r="J360" t="str">
        <f ca="1">IFERROR(__xludf.DUMMYFUNCTION("""COMPUTED_VALUE"""),"2284 (45000-397-49000) НИЖНЕДН-УЗЕЛ - ЛИМАН")</f>
        <v>2284 (45000-397-49000) НИЖНЕДН-УЗЕЛ - ЛИМАН</v>
      </c>
      <c r="K360">
        <f ca="1">IFERROR(__xludf.DUMMYFUNCTION("""COMPUTED_VALUE"""),49000)</f>
        <v>49000</v>
      </c>
      <c r="L360" t="str">
        <f ca="1">IFERROR(__xludf.DUMMYFUNCTION("""COMPUTED_VALUE"""),"ЛИМАН")</f>
        <v>ЛИМАН</v>
      </c>
      <c r="M360" t="str">
        <f ca="1">IFERROR(__xludf.DUMMYFUNCTION("""COMPUTED_VALUE"""),"12.08.21 03-21")</f>
        <v>12.08.21 03-21</v>
      </c>
      <c r="N360" t="str">
        <f ca="1">IFERROR(__xludf.DUMMYFUNCTION("""COMPUTED_VALUE"""),"04 РАСФ")</f>
        <v>04 РАСФ</v>
      </c>
      <c r="O360">
        <f ca="1">IFERROR(__xludf.DUMMYFUNCTION("""COMPUTED_VALUE"""),49620)</f>
        <v>49620</v>
      </c>
      <c r="P360" t="str">
        <f ca="1">IFERROR(__xludf.DUMMYFUNCTION("""COMPUTED_VALUE"""),"ДЕКОНСКАЯ")</f>
        <v>ДЕКОНСКАЯ</v>
      </c>
      <c r="Q360">
        <f ca="1">IFERROR(__xludf.DUMMYFUNCTION("""COMPUTED_VALUE"""),33580)</f>
        <v>33580</v>
      </c>
      <c r="R360" t="str">
        <f ca="1">IFERROR(__xludf.DUMMYFUNCTION("""COMPUTED_VALUE"""),"ВИННИЦА")</f>
        <v>ВИННИЦА</v>
      </c>
      <c r="S360" t="str">
        <f ca="1">IFERROR(__xludf.DUMMYFUNCTION("""COMPUTED_VALUE"""),"06.08.21 15-20")</f>
        <v>06.08.21 15-20</v>
      </c>
      <c r="T360">
        <f ca="1">IFERROR(__xludf.DUMMYFUNCTION("""COMPUTED_VALUE"""),4456)</f>
        <v>4456</v>
      </c>
      <c r="U360" t="str">
        <f ca="1">IFERROR(__xludf.DUMMYFUNCTION("""COMPUTED_VALUE"""),"23.09.2022 ДР")</f>
        <v>23.09.2022 ДР</v>
      </c>
      <c r="AA360" t="str">
        <f ca="1">IFERROR(__xludf.DUMMYFUNCTION("""COMPUTED_VALUE"""),"11-217")</f>
        <v>11-217</v>
      </c>
      <c r="AB360" t="str">
        <f ca="1">IFERROR(__xludf.DUMMYFUNCTION("""COMPUTED_VALUE"""),"32 Ю-ЗАП")</f>
        <v>32 Ю-ЗАП</v>
      </c>
      <c r="AC360" t="str">
        <f ca="1">IFERROR(__xludf.DUMMYFUNCTION("""COMPUTED_VALUE"""),"32000 ДАРНИЦА")</f>
        <v>32000 ДАРНИЦА</v>
      </c>
      <c r="AD360" t="str">
        <f ca="1">IFERROR(__xludf.DUMMYFUNCTION("""COMPUTED_VALUE"""),"08.06.21 23-55")</f>
        <v>08.06.21 23-55</v>
      </c>
      <c r="AE360" t="str">
        <f ca="1">IFERROR(__xludf.DUMMYFUNCTION("""COMPUTED_VALUE"""),"410 НЕИСПРАВНОСТЬ ТРОЙНИКА")</f>
        <v>410 НЕИСПРАВНОСТЬ ТРОЙНИКА</v>
      </c>
      <c r="AF360" t="str">
        <f ca="1">IFERROR(__xludf.DUMMYFUNCTION("""COMPUTED_VALUE"""),"32 Ю-ЗАП")</f>
        <v>32 Ю-ЗАП</v>
      </c>
      <c r="AG360" t="str">
        <f ca="1">IFERROR(__xludf.DUMMYFUNCTION("""COMPUTED_VALUE"""),"32000 ДАРНИЦА")</f>
        <v>32000 ДАРНИЦА</v>
      </c>
      <c r="AH360" t="str">
        <f ca="1">IFERROR(__xludf.DUMMYFUNCTION("""COMPUTED_VALUE"""),"10.06.21 16-03")</f>
        <v>10.06.21 16-03</v>
      </c>
      <c r="AI360" s="21">
        <f ca="1">IFERROR(__xludf.DUMMYFUNCTION("""COMPUTED_VALUE"""),44420.3583449074)</f>
        <v>44420.358344907399</v>
      </c>
    </row>
    <row r="361" spans="1:35" ht="13" x14ac:dyDescent="0.15">
      <c r="A361">
        <f ca="1">IFERROR(__xludf.DUMMYFUNCTION("""COMPUTED_VALUE"""),1696)</f>
        <v>1696</v>
      </c>
      <c r="B361" t="str">
        <f ca="1">IFERROR(__xludf.DUMMYFUNCTION("""COMPUTED_VALUE"""),"ВИК")</f>
        <v>ВИК</v>
      </c>
      <c r="C361" t="str">
        <f ca="1">IFERROR(__xludf.DUMMYFUNCTION("""COMPUTED_VALUE"""),"ВИК")</f>
        <v>ВИК</v>
      </c>
      <c r="D361">
        <f ca="1">IFERROR(__xludf.DUMMYFUNCTION("""COMPUTED_VALUE"""),24373961)</f>
        <v>24373961</v>
      </c>
      <c r="E361" t="str">
        <f ca="1">IFERROR(__xludf.DUMMYFUNCTION("""COMPUTED_VALUE"""),"20 КРЫТЫЕ")</f>
        <v>20 КРЫТЫЕ</v>
      </c>
      <c r="F361">
        <f ca="1">IFERROR(__xludf.DUMMYFUNCTION("""COMPUTED_VALUE"""),42103)</f>
        <v>42103</v>
      </c>
      <c r="G361" t="str">
        <f ca="1">IFERROR(__xludf.DUMMYFUNCTION("""COMPUTED_VALUE"""),"ВАГОНЫ ЖД СВ")</f>
        <v>ВАГОНЫ ЖД СВ</v>
      </c>
      <c r="H361">
        <f ca="1">IFERROR(__xludf.DUMMYFUNCTION("""COMPUTED_VALUE"""),0)</f>
        <v>0</v>
      </c>
      <c r="I361">
        <f ca="1">IFERROR(__xludf.DUMMYFUNCTION("""COMPUTED_VALUE"""),1556)</f>
        <v>1556</v>
      </c>
      <c r="J361" t="str">
        <f ca="1">IFERROR(__xludf.DUMMYFUNCTION("""COMPUTED_VALUE"""),"0000 (00000-000-00000)  -")</f>
        <v>0000 (00000-000-00000)  -</v>
      </c>
      <c r="K361">
        <f ca="1">IFERROR(__xludf.DUMMYFUNCTION("""COMPUTED_VALUE"""),40200)</f>
        <v>40200</v>
      </c>
      <c r="L361" t="str">
        <f ca="1">IFERROR(__xludf.DUMMYFUNCTION("""COMPUTED_VALUE"""),"ЧЕРНОМОРСК-П")</f>
        <v>ЧЕРНОМОРСК-П</v>
      </c>
      <c r="M361" t="str">
        <f ca="1">IFERROR(__xludf.DUMMYFUNCTION("""COMPUTED_VALUE"""),"11.08.21 11-40")</f>
        <v>11.08.21 11-40</v>
      </c>
      <c r="N361" t="str">
        <f ca="1">IFERROR(__xludf.DUMMYFUNCTION("""COMPUTED_VALUE"""),"73 КОРР")</f>
        <v>73 КОРР</v>
      </c>
      <c r="O361">
        <f ca="1">IFERROR(__xludf.DUMMYFUNCTION("""COMPUTED_VALUE"""),40200)</f>
        <v>40200</v>
      </c>
      <c r="P361" t="str">
        <f ca="1">IFERROR(__xludf.DUMMYFUNCTION("""COMPUTED_VALUE"""),"ЧЕРНОМОРСК-П")</f>
        <v>ЧЕРНОМОРСК-П</v>
      </c>
      <c r="Q361">
        <f ca="1">IFERROR(__xludf.DUMMYFUNCTION("""COMPUTED_VALUE"""),40200)</f>
        <v>40200</v>
      </c>
      <c r="R361" t="str">
        <f ca="1">IFERROR(__xludf.DUMMYFUNCTION("""COMPUTED_VALUE"""),"ЧЕРНОМОРСК-П")</f>
        <v>ЧЕРНОМОРСК-П</v>
      </c>
      <c r="S361" t="str">
        <f ca="1">IFERROR(__xludf.DUMMYFUNCTION("""COMPUTED_VALUE"""),"10.08.21 13-03")</f>
        <v>10.08.21 13-03</v>
      </c>
      <c r="T361">
        <f ca="1">IFERROR(__xludf.DUMMYFUNCTION("""COMPUTED_VALUE"""),4456)</f>
        <v>4456</v>
      </c>
      <c r="U361" t="str">
        <f ca="1">IFERROR(__xludf.DUMMYFUNCTION("""COMPUTED_VALUE"""),"30.04.2022 ДР")</f>
        <v>30.04.2022 ДР</v>
      </c>
      <c r="AA361" t="str">
        <f ca="1">IFERROR(__xludf.DUMMYFUNCTION("""COMPUTED_VALUE"""),"11-217")</f>
        <v>11-217</v>
      </c>
      <c r="AB361" t="str">
        <f ca="1">IFERROR(__xludf.DUMMYFUNCTION("""COMPUTED_VALUE"""),"40 ОД")</f>
        <v>40 ОД</v>
      </c>
      <c r="AC361" t="str">
        <f ca="1">IFERROR(__xludf.DUMMYFUNCTION("""COMPUTED_VALUE"""),"40510 ОДЕССА-ЗАС I")</f>
        <v>40510 ОДЕССА-ЗАС I</v>
      </c>
      <c r="AD361" t="str">
        <f ca="1">IFERROR(__xludf.DUMMYFUNCTION("""COMPUTED_VALUE"""),"29.07.21 10-15")</f>
        <v>29.07.21 10-15</v>
      </c>
      <c r="AE361" t="str">
        <f ca="1">IFERROR(__xludf.DUMMYFUNCTION("""COMPUTED_VALUE"""),"537 НEИCПPAВНOCТЬ ЗAПOPA ДВEPИ")</f>
        <v>537 НEИCПPAВНOCТЬ ЗAПOPA ДВEPИ</v>
      </c>
      <c r="AF361" t="str">
        <f ca="1">IFERROR(__xludf.DUMMYFUNCTION("""COMPUTED_VALUE"""),"40 ОД")</f>
        <v>40 ОД</v>
      </c>
      <c r="AG361" t="str">
        <f ca="1">IFERROR(__xludf.DUMMYFUNCTION("""COMPUTED_VALUE"""),"40510 ОДЕССА-ЗАС I")</f>
        <v>40510 ОДЕССА-ЗАС I</v>
      </c>
      <c r="AH361" t="str">
        <f ca="1">IFERROR(__xludf.DUMMYFUNCTION("""COMPUTED_VALUE"""),"04.08.21 15-55")</f>
        <v>04.08.21 15-55</v>
      </c>
      <c r="AI361" s="21">
        <f ca="1">IFERROR(__xludf.DUMMYFUNCTION("""COMPUTED_VALUE"""),44420.3583449074)</f>
        <v>44420.358344907399</v>
      </c>
    </row>
    <row r="362" spans="1:35" ht="13" x14ac:dyDescent="0.15">
      <c r="A362">
        <f ca="1">IFERROR(__xludf.DUMMYFUNCTION("""COMPUTED_VALUE"""),1697)</f>
        <v>1697</v>
      </c>
      <c r="B362" t="str">
        <f ca="1">IFERROR(__xludf.DUMMYFUNCTION("""COMPUTED_VALUE"""),"ВИК")</f>
        <v>ВИК</v>
      </c>
      <c r="C362" t="str">
        <f ca="1">IFERROR(__xludf.DUMMYFUNCTION("""COMPUTED_VALUE"""),"ВИК")</f>
        <v>ВИК</v>
      </c>
      <c r="D362">
        <f ca="1">IFERROR(__xludf.DUMMYFUNCTION("""COMPUTED_VALUE"""),24378036)</f>
        <v>24378036</v>
      </c>
      <c r="E362" t="str">
        <f ca="1">IFERROR(__xludf.DUMMYFUNCTION("""COMPUTED_VALUE"""),"20 КРЫТЫЕ")</f>
        <v>20 КРЫТЫЕ</v>
      </c>
      <c r="F362">
        <f ca="1">IFERROR(__xludf.DUMMYFUNCTION("""COMPUTED_VALUE"""),42103)</f>
        <v>42103</v>
      </c>
      <c r="G362" t="str">
        <f ca="1">IFERROR(__xludf.DUMMYFUNCTION("""COMPUTED_VALUE"""),"ВАГОНЫ ЖД СВ")</f>
        <v>ВАГОНЫ ЖД СВ</v>
      </c>
      <c r="H362">
        <f ca="1">IFERROR(__xludf.DUMMYFUNCTION("""COMPUTED_VALUE"""),0)</f>
        <v>0</v>
      </c>
      <c r="I362">
        <f ca="1">IFERROR(__xludf.DUMMYFUNCTION("""COMPUTED_VALUE"""),4149)</f>
        <v>4149</v>
      </c>
      <c r="J362" t="str">
        <f ca="1">IFERROR(__xludf.DUMMYFUNCTION("""COMPUTED_VALUE"""),"3001 (34350-194-34560) ФАСТОВ I - ЖИТОМИР")</f>
        <v>3001 (34350-194-34560) ФАСТОВ I - ЖИТОМИР</v>
      </c>
      <c r="K362">
        <f ca="1">IFERROR(__xludf.DUMMYFUNCTION("""COMPUTED_VALUE"""),34560)</f>
        <v>34560</v>
      </c>
      <c r="L362" t="str">
        <f ca="1">IFERROR(__xludf.DUMMYFUNCTION("""COMPUTED_VALUE"""),"ЖИТОМИР")</f>
        <v>ЖИТОМИР</v>
      </c>
      <c r="M362" t="str">
        <f ca="1">IFERROR(__xludf.DUMMYFUNCTION("""COMPUTED_VALUE"""),"10.08.21 00-20")</f>
        <v>10.08.21 00-20</v>
      </c>
      <c r="N362" t="str">
        <f ca="1">IFERROR(__xludf.DUMMYFUNCTION("""COMPUTED_VALUE"""),"91 ПРДР")</f>
        <v>91 ПРДР</v>
      </c>
      <c r="O362">
        <f ca="1">IFERROR(__xludf.DUMMYFUNCTION("""COMPUTED_VALUE"""),49620)</f>
        <v>49620</v>
      </c>
      <c r="P362" t="str">
        <f ca="1">IFERROR(__xludf.DUMMYFUNCTION("""COMPUTED_VALUE"""),"ДЕКОНСКАЯ")</f>
        <v>ДЕКОНСКАЯ</v>
      </c>
      <c r="Q362">
        <f ca="1">IFERROR(__xludf.DUMMYFUNCTION("""COMPUTED_VALUE"""),34560)</f>
        <v>34560</v>
      </c>
      <c r="R362" t="str">
        <f ca="1">IFERROR(__xludf.DUMMYFUNCTION("""COMPUTED_VALUE"""),"ЖИТОМИР")</f>
        <v>ЖИТОМИР</v>
      </c>
      <c r="S362" t="str">
        <f ca="1">IFERROR(__xludf.DUMMYFUNCTION("""COMPUTED_VALUE"""),"09.08.21 15-30")</f>
        <v>09.08.21 15-30</v>
      </c>
      <c r="T362">
        <f ca="1">IFERROR(__xludf.DUMMYFUNCTION("""COMPUTED_VALUE"""),4456)</f>
        <v>4456</v>
      </c>
      <c r="U362" t="str">
        <f ca="1">IFERROR(__xludf.DUMMYFUNCTION("""COMPUTED_VALUE"""),"29.03.2022 ДР")</f>
        <v>29.03.2022 ДР</v>
      </c>
      <c r="AA362" t="str">
        <f ca="1">IFERROR(__xludf.DUMMYFUNCTION("""COMPUTED_VALUE"""),"11-270")</f>
        <v>11-270</v>
      </c>
      <c r="AB362" t="str">
        <f ca="1">IFERROR(__xludf.DUMMYFUNCTION("""COMPUTED_VALUE"""),"40 ОД")</f>
        <v>40 ОД</v>
      </c>
      <c r="AC362" t="str">
        <f ca="1">IFERROR(__xludf.DUMMYFUNCTION("""COMPUTED_VALUE"""),"41190 ПОМОШНАЯ")</f>
        <v>41190 ПОМОШНАЯ</v>
      </c>
      <c r="AD362" t="str">
        <f ca="1">IFERROR(__xludf.DUMMYFUNCTION("""COMPUTED_VALUE"""),"03.04.21 07-55")</f>
        <v>03.04.21 07-55</v>
      </c>
      <c r="AE362" t="str">
        <f ca="1">IFERROR(__xludf.DUMMYFUNCTION("""COMPUTED_VALUE"""),"102 ТOНКИЙ ГPEБEНЬ")</f>
        <v>102 ТOНКИЙ ГPEБEНЬ</v>
      </c>
      <c r="AF362" t="str">
        <f ca="1">IFERROR(__xludf.DUMMYFUNCTION("""COMPUTED_VALUE"""),"40 ОД")</f>
        <v>40 ОД</v>
      </c>
      <c r="AG362" t="str">
        <f ca="1">IFERROR(__xludf.DUMMYFUNCTION("""COMPUTED_VALUE"""),"41190 ПОМОШНАЯ")</f>
        <v>41190 ПОМОШНАЯ</v>
      </c>
      <c r="AH362" t="str">
        <f ca="1">IFERROR(__xludf.DUMMYFUNCTION("""COMPUTED_VALUE"""),"03.04.21 15-05")</f>
        <v>03.04.21 15-05</v>
      </c>
      <c r="AI362" s="21">
        <f ca="1">IFERROR(__xludf.DUMMYFUNCTION("""COMPUTED_VALUE"""),44420.3583449074)</f>
        <v>44420.358344907399</v>
      </c>
    </row>
    <row r="363" spans="1:35" ht="13" x14ac:dyDescent="0.15">
      <c r="A363">
        <f ca="1">IFERROR(__xludf.DUMMYFUNCTION("""COMPUTED_VALUE"""),1698)</f>
        <v>1698</v>
      </c>
      <c r="B363" t="str">
        <f ca="1">IFERROR(__xludf.DUMMYFUNCTION("""COMPUTED_VALUE"""),"ВИК")</f>
        <v>ВИК</v>
      </c>
      <c r="C363" t="str">
        <f ca="1">IFERROR(__xludf.DUMMYFUNCTION("""COMPUTED_VALUE"""),"ВИК")</f>
        <v>ВИК</v>
      </c>
      <c r="D363">
        <f ca="1">IFERROR(__xludf.DUMMYFUNCTION("""COMPUTED_VALUE"""),24383515)</f>
        <v>24383515</v>
      </c>
      <c r="E363" t="str">
        <f ca="1">IFERROR(__xludf.DUMMYFUNCTION("""COMPUTED_VALUE"""),"20 КРЫТЫЕ")</f>
        <v>20 КРЫТЫЕ</v>
      </c>
      <c r="F363">
        <f ca="1">IFERROR(__xludf.DUMMYFUNCTION("""COMPUTED_VALUE"""),42103)</f>
        <v>42103</v>
      </c>
      <c r="G363" t="str">
        <f ca="1">IFERROR(__xludf.DUMMYFUNCTION("""COMPUTED_VALUE"""),"ВАГОНЫ ЖД СВ")</f>
        <v>ВАГОНЫ ЖД СВ</v>
      </c>
      <c r="H363">
        <f ca="1">IFERROR(__xludf.DUMMYFUNCTION("""COMPUTED_VALUE"""),0)</f>
        <v>0</v>
      </c>
      <c r="I363">
        <f ca="1">IFERROR(__xludf.DUMMYFUNCTION("""COMPUTED_VALUE"""),4149)</f>
        <v>4149</v>
      </c>
      <c r="J363" t="str">
        <f ca="1">IFERROR(__xludf.DUMMYFUNCTION("""COMPUTED_VALUE"""),"3524 (49870-077-43000) РУБЕЖНОЕ - КУПЯНСК-СОРТ")</f>
        <v>3524 (49870-077-43000) РУБЕЖНОЕ - КУПЯНСК-СОРТ</v>
      </c>
      <c r="K363">
        <f ca="1">IFERROR(__xludf.DUMMYFUNCTION("""COMPUTED_VALUE"""),43000)</f>
        <v>43000</v>
      </c>
      <c r="L363" t="str">
        <f ca="1">IFERROR(__xludf.DUMMYFUNCTION("""COMPUTED_VALUE"""),"КУПЯНСК-СОРТ")</f>
        <v>КУПЯНСК-СОРТ</v>
      </c>
      <c r="M363" t="str">
        <f ca="1">IFERROR(__xludf.DUMMYFUNCTION("""COMPUTED_VALUE"""),"11.08.21 22-35")</f>
        <v>11.08.21 22-35</v>
      </c>
      <c r="N363" t="str">
        <f ca="1">IFERROR(__xludf.DUMMYFUNCTION("""COMPUTED_VALUE"""),"04 РАСФ")</f>
        <v>04 РАСФ</v>
      </c>
      <c r="O363">
        <f ca="1">IFERROR(__xludf.DUMMYFUNCTION("""COMPUTED_VALUE"""),49620)</f>
        <v>49620</v>
      </c>
      <c r="P363" t="str">
        <f ca="1">IFERROR(__xludf.DUMMYFUNCTION("""COMPUTED_VALUE"""),"ДЕКОНСКАЯ")</f>
        <v>ДЕКОНСКАЯ</v>
      </c>
      <c r="Q363">
        <f ca="1">IFERROR(__xludf.DUMMYFUNCTION("""COMPUTED_VALUE"""),49870)</f>
        <v>49870</v>
      </c>
      <c r="R363" t="str">
        <f ca="1">IFERROR(__xludf.DUMMYFUNCTION("""COMPUTED_VALUE"""),"РУБЕЖНОЕ")</f>
        <v>РУБЕЖНОЕ</v>
      </c>
      <c r="S363" t="str">
        <f ca="1">IFERROR(__xludf.DUMMYFUNCTION("""COMPUTED_VALUE"""),"11.08.21 00-30")</f>
        <v>11.08.21 00-30</v>
      </c>
      <c r="T363">
        <f ca="1">IFERROR(__xludf.DUMMYFUNCTION("""COMPUTED_VALUE"""),4456)</f>
        <v>4456</v>
      </c>
      <c r="U363" t="str">
        <f ca="1">IFERROR(__xludf.DUMMYFUNCTION("""COMPUTED_VALUE"""),"01.09.2023 ДР")</f>
        <v>01.09.2023 ДР</v>
      </c>
      <c r="AA363" t="str">
        <f ca="1">IFERROR(__xludf.DUMMYFUNCTION("""COMPUTED_VALUE"""),"11-217")</f>
        <v>11-217</v>
      </c>
      <c r="AB363" t="str">
        <f ca="1">IFERROR(__xludf.DUMMYFUNCTION("""COMPUTED_VALUE"""),"40 ОД")</f>
        <v>40 ОД</v>
      </c>
      <c r="AC363" t="str">
        <f ca="1">IFERROR(__xludf.DUMMYFUNCTION("""COMPUTED_VALUE"""),"41190 ПОМОШНАЯ")</f>
        <v>41190 ПОМОШНАЯ</v>
      </c>
      <c r="AD363" t="str">
        <f ca="1">IFERROR(__xludf.DUMMYFUNCTION("""COMPUTED_VALUE"""),"21.08.20 10-00")</f>
        <v>21.08.20 10-00</v>
      </c>
      <c r="AE363" t="str">
        <f ca="1">IFERROR(__xludf.DUMMYFUNCTION("""COMPUTED_VALUE"""),"570 ИCТEК КAЛЕНДАРНЫЙ CPOК ДEПOВCКОГО PEМOНТA")</f>
        <v>570 ИCТEК КAЛЕНДАРНЫЙ CPOК ДEПOВCКОГО PEМOНТA</v>
      </c>
      <c r="AF363" t="str">
        <f ca="1">IFERROR(__xludf.DUMMYFUNCTION("""COMPUTED_VALUE"""),"40 ОД")</f>
        <v>40 ОД</v>
      </c>
      <c r="AG363" t="str">
        <f ca="1">IFERROR(__xludf.DUMMYFUNCTION("""COMPUTED_VALUE"""),"41190 ПОМОШНАЯ")</f>
        <v>41190 ПОМОШНАЯ</v>
      </c>
      <c r="AH363" t="str">
        <f ca="1">IFERROR(__xludf.DUMMYFUNCTION("""COMPUTED_VALUE"""),"01.09.20 18-00")</f>
        <v>01.09.20 18-00</v>
      </c>
      <c r="AI363" s="21">
        <f ca="1">IFERROR(__xludf.DUMMYFUNCTION("""COMPUTED_VALUE"""),44420.3583449074)</f>
        <v>44420.358344907399</v>
      </c>
    </row>
    <row r="364" spans="1:35" ht="13" x14ac:dyDescent="0.15">
      <c r="A364">
        <f ca="1">IFERROR(__xludf.DUMMYFUNCTION("""COMPUTED_VALUE"""),1699)</f>
        <v>1699</v>
      </c>
      <c r="B364" t="str">
        <f ca="1">IFERROR(__xludf.DUMMYFUNCTION("""COMPUTED_VALUE"""),"ВИК")</f>
        <v>ВИК</v>
      </c>
      <c r="C364" t="str">
        <f ca="1">IFERROR(__xludf.DUMMYFUNCTION("""COMPUTED_VALUE"""),"ВИК")</f>
        <v>ВИК</v>
      </c>
      <c r="D364">
        <f ca="1">IFERROR(__xludf.DUMMYFUNCTION("""COMPUTED_VALUE"""),24383531)</f>
        <v>24383531</v>
      </c>
      <c r="E364" t="str">
        <f ca="1">IFERROR(__xludf.DUMMYFUNCTION("""COMPUTED_VALUE"""),"20 КРЫТЫЕ")</f>
        <v>20 КРЫТЫЕ</v>
      </c>
      <c r="F364">
        <f ca="1">IFERROR(__xludf.DUMMYFUNCTION("""COMPUTED_VALUE"""),23304)</f>
        <v>23304</v>
      </c>
      <c r="G364" t="str">
        <f ca="1">IFERROR(__xludf.DUMMYFUNCTION("""COMPUTED_VALUE"""),"ГИПС ПР")</f>
        <v>ГИПС ПР</v>
      </c>
      <c r="H364">
        <f ca="1">IFERROR(__xludf.DUMMYFUNCTION("""COMPUTED_VALUE"""),67)</f>
        <v>67</v>
      </c>
      <c r="I364">
        <f ca="1">IFERROR(__xludf.DUMMYFUNCTION("""COMPUTED_VALUE"""),3314)</f>
        <v>3314</v>
      </c>
      <c r="J364" t="str">
        <f ca="1">IFERROR(__xludf.DUMMYFUNCTION("""COMPUTED_VALUE"""),"2223 (44020-103-37040) ОСНОВА - КЛЕПАРОВ")</f>
        <v>2223 (44020-103-37040) ОСНОВА - КЛЕПАРОВ</v>
      </c>
      <c r="K364">
        <f ca="1">IFERROR(__xludf.DUMMYFUNCTION("""COMPUTED_VALUE"""),37040)</f>
        <v>37040</v>
      </c>
      <c r="L364" t="str">
        <f ca="1">IFERROR(__xludf.DUMMYFUNCTION("""COMPUTED_VALUE"""),"КЛЕПАРОВ")</f>
        <v>КЛЕПАРОВ</v>
      </c>
      <c r="M364" t="str">
        <f ca="1">IFERROR(__xludf.DUMMYFUNCTION("""COMPUTED_VALUE"""),"12.08.21 06-19")</f>
        <v>12.08.21 06-19</v>
      </c>
      <c r="N364" t="str">
        <f ca="1">IFERROR(__xludf.DUMMYFUNCTION("""COMPUTED_VALUE"""),"04 РАСФ")</f>
        <v>04 РАСФ</v>
      </c>
      <c r="O364">
        <f ca="1">IFERROR(__xludf.DUMMYFUNCTION("""COMPUTED_VALUE"""),38840)</f>
        <v>38840</v>
      </c>
      <c r="P364" t="str">
        <f ca="1">IFERROR(__xludf.DUMMYFUNCTION("""COMPUTED_VALUE"""),"ИВАНО-ФРАНК")</f>
        <v>ИВАНО-ФРАНК</v>
      </c>
      <c r="Q364">
        <f ca="1">IFERROR(__xludf.DUMMYFUNCTION("""COMPUTED_VALUE"""),49620)</f>
        <v>49620</v>
      </c>
      <c r="R364" t="str">
        <f ca="1">IFERROR(__xludf.DUMMYFUNCTION("""COMPUTED_VALUE"""),"ДЕКОНСКАЯ")</f>
        <v>ДЕКОНСКАЯ</v>
      </c>
      <c r="S364" t="str">
        <f ca="1">IFERROR(__xludf.DUMMYFUNCTION("""COMPUTED_VALUE"""),"06.08.21 09-00")</f>
        <v>06.08.21 09-00</v>
      </c>
      <c r="T364">
        <f ca="1">IFERROR(__xludf.DUMMYFUNCTION("""COMPUTED_VALUE"""),4149)</f>
        <v>4149</v>
      </c>
      <c r="U364" t="str">
        <f ca="1">IFERROR(__xludf.DUMMYFUNCTION("""COMPUTED_VALUE"""),"25.06.2023 ДР")</f>
        <v>25.06.2023 ДР</v>
      </c>
      <c r="AA364" t="str">
        <f ca="1">IFERROR(__xludf.DUMMYFUNCTION("""COMPUTED_VALUE"""),"11-217")</f>
        <v>11-217</v>
      </c>
      <c r="AB364" t="str">
        <f ca="1">IFERROR(__xludf.DUMMYFUNCTION("""COMPUTED_VALUE"""),"40 ОД")</f>
        <v>40 ОД</v>
      </c>
      <c r="AC364" t="str">
        <f ca="1">IFERROR(__xludf.DUMMYFUNCTION("""COMPUTED_VALUE"""),"41190 ПОМОШНАЯ")</f>
        <v>41190 ПОМОШНАЯ</v>
      </c>
      <c r="AD364" t="str">
        <f ca="1">IFERROR(__xludf.DUMMYFUNCTION("""COMPUTED_VALUE"""),"23.06.20 17-00")</f>
        <v>23.06.20 17-00</v>
      </c>
      <c r="AE364" t="str">
        <f ca="1">IFERROR(__xludf.DUMMYFUNCTION("""COMPUTED_VALUE"""),"570 ИCТEК КAЛЕНДАРНЫЙ CPOК ДEПOВCКОГО PEМOНТA")</f>
        <v>570 ИCТEК КAЛЕНДАРНЫЙ CPOК ДEПOВCКОГО PEМOНТA</v>
      </c>
      <c r="AF364" t="str">
        <f ca="1">IFERROR(__xludf.DUMMYFUNCTION("""COMPUTED_VALUE"""),"40 ОД")</f>
        <v>40 ОД</v>
      </c>
      <c r="AG364" t="str">
        <f ca="1">IFERROR(__xludf.DUMMYFUNCTION("""COMPUTED_VALUE"""),"41190 ПОМОШНАЯ")</f>
        <v>41190 ПОМОШНАЯ</v>
      </c>
      <c r="AH364" t="str">
        <f ca="1">IFERROR(__xludf.DUMMYFUNCTION("""COMPUTED_VALUE"""),"25.06.20 13-00")</f>
        <v>25.06.20 13-00</v>
      </c>
      <c r="AI364" s="21">
        <f ca="1">IFERROR(__xludf.DUMMYFUNCTION("""COMPUTED_VALUE"""),44420.3583449074)</f>
        <v>44420.358344907399</v>
      </c>
    </row>
    <row r="365" spans="1:35" ht="13" x14ac:dyDescent="0.15">
      <c r="A365">
        <f ca="1">IFERROR(__xludf.DUMMYFUNCTION("""COMPUTED_VALUE"""),1700)</f>
        <v>1700</v>
      </c>
      <c r="B365" t="str">
        <f ca="1">IFERROR(__xludf.DUMMYFUNCTION("""COMPUTED_VALUE"""),"ВИК")</f>
        <v>ВИК</v>
      </c>
      <c r="C365" t="str">
        <f ca="1">IFERROR(__xludf.DUMMYFUNCTION("""COMPUTED_VALUE"""),"ВИК")</f>
        <v>ВИК</v>
      </c>
      <c r="D365">
        <f ca="1">IFERROR(__xludf.DUMMYFUNCTION("""COMPUTED_VALUE"""),24383564)</f>
        <v>24383564</v>
      </c>
      <c r="E365" t="str">
        <f ca="1">IFERROR(__xludf.DUMMYFUNCTION("""COMPUTED_VALUE"""),"20 КРЫТЫЕ")</f>
        <v>20 КРЫТЫЕ</v>
      </c>
      <c r="F365">
        <f ca="1">IFERROR(__xludf.DUMMYFUNCTION("""COMPUTED_VALUE"""),23304)</f>
        <v>23304</v>
      </c>
      <c r="G365" t="str">
        <f ca="1">IFERROR(__xludf.DUMMYFUNCTION("""COMPUTED_VALUE"""),"ГИПС ПР")</f>
        <v>ГИПС ПР</v>
      </c>
      <c r="H365">
        <f ca="1">IFERROR(__xludf.DUMMYFUNCTION("""COMPUTED_VALUE"""),66)</f>
        <v>66</v>
      </c>
      <c r="I365">
        <f ca="1">IFERROR(__xludf.DUMMYFUNCTION("""COMPUTED_VALUE"""),7272)</f>
        <v>7272</v>
      </c>
      <c r="J365" t="str">
        <f ca="1">IFERROR(__xludf.DUMMYFUNCTION("""COMPUTED_VALUE"""),"2181 (44020-079-32000) ОСНОВА - ДАРНИЦА")</f>
        <v>2181 (44020-079-32000) ОСНОВА - ДАРНИЦА</v>
      </c>
      <c r="K365">
        <f ca="1">IFERROR(__xludf.DUMMYFUNCTION("""COMPUTED_VALUE"""),32000)</f>
        <v>32000</v>
      </c>
      <c r="L365" t="str">
        <f ca="1">IFERROR(__xludf.DUMMYFUNCTION("""COMPUTED_VALUE"""),"ДАРНИЦА")</f>
        <v>ДАРНИЦА</v>
      </c>
      <c r="M365" t="str">
        <f ca="1">IFERROR(__xludf.DUMMYFUNCTION("""COMPUTED_VALUE"""),"11.08.21 13-51")</f>
        <v>11.08.21 13-51</v>
      </c>
      <c r="N365" t="str">
        <f ca="1">IFERROR(__xludf.DUMMYFUNCTION("""COMPUTED_VALUE"""),"04 РАСФ")</f>
        <v>04 РАСФ</v>
      </c>
      <c r="O365">
        <f ca="1">IFERROR(__xludf.DUMMYFUNCTION("""COMPUTED_VALUE"""),34560)</f>
        <v>34560</v>
      </c>
      <c r="P365" t="str">
        <f ca="1">IFERROR(__xludf.DUMMYFUNCTION("""COMPUTED_VALUE"""),"ЖИТОМИР")</f>
        <v>ЖИТОМИР</v>
      </c>
      <c r="Q365">
        <f ca="1">IFERROR(__xludf.DUMMYFUNCTION("""COMPUTED_VALUE"""),49620)</f>
        <v>49620</v>
      </c>
      <c r="R365" t="str">
        <f ca="1">IFERROR(__xludf.DUMMYFUNCTION("""COMPUTED_VALUE"""),"ДЕКОНСКАЯ")</f>
        <v>ДЕКОНСКАЯ</v>
      </c>
      <c r="S365" t="str">
        <f ca="1">IFERROR(__xludf.DUMMYFUNCTION("""COMPUTED_VALUE"""),"06.08.21 21-20")</f>
        <v>06.08.21 21-20</v>
      </c>
      <c r="T365">
        <f ca="1">IFERROR(__xludf.DUMMYFUNCTION("""COMPUTED_VALUE"""),4149)</f>
        <v>4149</v>
      </c>
      <c r="U365" t="str">
        <f ca="1">IFERROR(__xludf.DUMMYFUNCTION("""COMPUTED_VALUE"""),"27.07.2023 ТР-1")</f>
        <v>27.07.2023 ТР-1</v>
      </c>
      <c r="AA365" t="str">
        <f ca="1">IFERROR(__xludf.DUMMYFUNCTION("""COMPUTED_VALUE"""),"11-270")</f>
        <v>11-270</v>
      </c>
      <c r="AB365" t="str">
        <f ca="1">IFERROR(__xludf.DUMMYFUNCTION("""COMPUTED_VALUE"""),"40 ОД")</f>
        <v>40 ОД</v>
      </c>
      <c r="AC365" t="str">
        <f ca="1">IFERROR(__xludf.DUMMYFUNCTION("""COMPUTED_VALUE"""),"41190 ПОМОШНАЯ")</f>
        <v>41190 ПОМОШНАЯ</v>
      </c>
      <c r="AD365" t="str">
        <f ca="1">IFERROR(__xludf.DUMMYFUNCTION("""COMPUTED_VALUE"""),"24.07.20 13-00")</f>
        <v>24.07.20 13-00</v>
      </c>
      <c r="AE365" t="str">
        <f ca="1">IFERROR(__xludf.DUMMYFUNCTION("""COMPUTED_VALUE"""),"570 ИCТEК КAЛЕНДАРНЫЙ CPOК ДEПOВCКОГО PEМOНТA")</f>
        <v>570 ИCТEК КAЛЕНДАРНЫЙ CPOК ДEПOВCКОГО PEМOНТA</v>
      </c>
      <c r="AF365" t="str">
        <f ca="1">IFERROR(__xludf.DUMMYFUNCTION("""COMPUTED_VALUE"""),"40 ОД")</f>
        <v>40 ОД</v>
      </c>
      <c r="AG365" t="str">
        <f ca="1">IFERROR(__xludf.DUMMYFUNCTION("""COMPUTED_VALUE"""),"41190 ПОМОШНАЯ")</f>
        <v>41190 ПОМОШНАЯ</v>
      </c>
      <c r="AH365" t="str">
        <f ca="1">IFERROR(__xludf.DUMMYFUNCTION("""COMPUTED_VALUE"""),"28.07.20 16-30")</f>
        <v>28.07.20 16-30</v>
      </c>
      <c r="AI365" s="21">
        <f ca="1">IFERROR(__xludf.DUMMYFUNCTION("""COMPUTED_VALUE"""),44420.3583449074)</f>
        <v>44420.358344907399</v>
      </c>
    </row>
    <row r="366" spans="1:35" ht="13" x14ac:dyDescent="0.15">
      <c r="A366">
        <f ca="1">IFERROR(__xludf.DUMMYFUNCTION("""COMPUTED_VALUE"""),1701)</f>
        <v>1701</v>
      </c>
      <c r="B366" t="str">
        <f ca="1">IFERROR(__xludf.DUMMYFUNCTION("""COMPUTED_VALUE"""),"ВИК")</f>
        <v>ВИК</v>
      </c>
      <c r="C366" t="str">
        <f ca="1">IFERROR(__xludf.DUMMYFUNCTION("""COMPUTED_VALUE"""),"ВИК")</f>
        <v>ВИК</v>
      </c>
      <c r="D366">
        <f ca="1">IFERROR(__xludf.DUMMYFUNCTION("""COMPUTED_VALUE"""),24383614)</f>
        <v>24383614</v>
      </c>
      <c r="E366" t="str">
        <f ca="1">IFERROR(__xludf.DUMMYFUNCTION("""COMPUTED_VALUE"""),"20 КРЫТЫЕ")</f>
        <v>20 КРЫТЫЕ</v>
      </c>
      <c r="F366">
        <f ca="1">IFERROR(__xludf.DUMMYFUNCTION("""COMPUTED_VALUE"""),42103)</f>
        <v>42103</v>
      </c>
      <c r="G366" t="str">
        <f ca="1">IFERROR(__xludf.DUMMYFUNCTION("""COMPUTED_VALUE"""),"ВАГОНЫ ЖД СВ")</f>
        <v>ВАГОНЫ ЖД СВ</v>
      </c>
      <c r="H366">
        <f ca="1">IFERROR(__xludf.DUMMYFUNCTION("""COMPUTED_VALUE"""),0)</f>
        <v>0</v>
      </c>
      <c r="I366">
        <f ca="1">IFERROR(__xludf.DUMMYFUNCTION("""COMPUTED_VALUE"""),8508)</f>
        <v>8508</v>
      </c>
      <c r="J366" t="str">
        <f ca="1">IFERROR(__xludf.DUMMYFUNCTION("""COMPUTED_VALUE"""),"3601 (34560-795-34350) ЖИТОМИР - ФАСТОВ I")</f>
        <v>3601 (34560-795-34350) ЖИТОМИР - ФАСТОВ I</v>
      </c>
      <c r="K366">
        <f ca="1">IFERROR(__xludf.DUMMYFUNCTION("""COMPUTED_VALUE"""),34560)</f>
        <v>34560</v>
      </c>
      <c r="L366" t="str">
        <f ca="1">IFERROR(__xludf.DUMMYFUNCTION("""COMPUTED_VALUE"""),"ЖИТОМИР")</f>
        <v>ЖИТОМИР</v>
      </c>
      <c r="M366" t="str">
        <f ca="1">IFERROR(__xludf.DUMMYFUNCTION("""COMPUTED_VALUE"""),"11.08.21 19-10")</f>
        <v>11.08.21 19-10</v>
      </c>
      <c r="N366" t="str">
        <f ca="1">IFERROR(__xludf.DUMMYFUNCTION("""COMPUTED_VALUE"""),"85 ПРСТ")</f>
        <v>85 ПРСТ</v>
      </c>
      <c r="O366">
        <f ca="1">IFERROR(__xludf.DUMMYFUNCTION("""COMPUTED_VALUE"""),40030)</f>
        <v>40030</v>
      </c>
      <c r="P366" t="str">
        <f ca="1">IFERROR(__xludf.DUMMYFUNCTION("""COMPUTED_VALUE"""),"ОДЕССА-ПОРТ")</f>
        <v>ОДЕССА-ПОРТ</v>
      </c>
      <c r="Q366">
        <f ca="1">IFERROR(__xludf.DUMMYFUNCTION("""COMPUTED_VALUE"""),34560)</f>
        <v>34560</v>
      </c>
      <c r="R366" t="str">
        <f ca="1">IFERROR(__xludf.DUMMYFUNCTION("""COMPUTED_VALUE"""),"ЖИТОМИР")</f>
        <v>ЖИТОМИР</v>
      </c>
      <c r="S366" t="str">
        <f ca="1">IFERROR(__xludf.DUMMYFUNCTION("""COMPUTED_VALUE"""),"09.08.21 14-30")</f>
        <v>09.08.21 14-30</v>
      </c>
      <c r="T366">
        <f ca="1">IFERROR(__xludf.DUMMYFUNCTION("""COMPUTED_VALUE"""),4456)</f>
        <v>4456</v>
      </c>
      <c r="U366" t="str">
        <f ca="1">IFERROR(__xludf.DUMMYFUNCTION("""COMPUTED_VALUE"""),"30.06.2023 ДР")</f>
        <v>30.06.2023 ДР</v>
      </c>
      <c r="AA366" t="str">
        <f ca="1">IFERROR(__xludf.DUMMYFUNCTION("""COMPUTED_VALUE"""),"11-217")</f>
        <v>11-217</v>
      </c>
      <c r="AB366" t="str">
        <f ca="1">IFERROR(__xludf.DUMMYFUNCTION("""COMPUTED_VALUE"""),"40 ОД")</f>
        <v>40 ОД</v>
      </c>
      <c r="AC366" t="str">
        <f ca="1">IFERROR(__xludf.DUMMYFUNCTION("""COMPUTED_VALUE"""),"41190 ПОМОШНАЯ")</f>
        <v>41190 ПОМОШНАЯ</v>
      </c>
      <c r="AD366" t="str">
        <f ca="1">IFERROR(__xludf.DUMMYFUNCTION("""COMPUTED_VALUE"""),"27.06.20 16-00")</f>
        <v>27.06.20 16-00</v>
      </c>
      <c r="AE366" t="str">
        <f ca="1">IFERROR(__xludf.DUMMYFUNCTION("""COMPUTED_VALUE"""),"570 ИCТEК КAЛЕНДАРНЫЙ CPOК ДEПOВCКОГО PEМOНТA")</f>
        <v>570 ИCТEК КAЛЕНДАРНЫЙ CPOК ДEПOВCКОГО PEМOНТA</v>
      </c>
      <c r="AF366" t="str">
        <f ca="1">IFERROR(__xludf.DUMMYFUNCTION("""COMPUTED_VALUE"""),"40 ОД")</f>
        <v>40 ОД</v>
      </c>
      <c r="AG366" t="str">
        <f ca="1">IFERROR(__xludf.DUMMYFUNCTION("""COMPUTED_VALUE"""),"41190 ПОМОШНАЯ")</f>
        <v>41190 ПОМОШНАЯ</v>
      </c>
      <c r="AH366" t="str">
        <f ca="1">IFERROR(__xludf.DUMMYFUNCTION("""COMPUTED_VALUE"""),"30.06.20 16-00")</f>
        <v>30.06.20 16-00</v>
      </c>
      <c r="AI366" s="21">
        <f ca="1">IFERROR(__xludf.DUMMYFUNCTION("""COMPUTED_VALUE"""),44420.3583449074)</f>
        <v>44420.358344907399</v>
      </c>
    </row>
    <row r="367" spans="1:35" ht="13" x14ac:dyDescent="0.15">
      <c r="A367">
        <f ca="1">IFERROR(__xludf.DUMMYFUNCTION("""COMPUTED_VALUE"""),1702)</f>
        <v>1702</v>
      </c>
      <c r="B367" t="str">
        <f ca="1">IFERROR(__xludf.DUMMYFUNCTION("""COMPUTED_VALUE"""),"ВИК")</f>
        <v>ВИК</v>
      </c>
      <c r="C367" t="str">
        <f ca="1">IFERROR(__xludf.DUMMYFUNCTION("""COMPUTED_VALUE"""),"ВИК")</f>
        <v>ВИК</v>
      </c>
      <c r="D367">
        <f ca="1">IFERROR(__xludf.DUMMYFUNCTION("""COMPUTED_VALUE"""),24383630)</f>
        <v>24383630</v>
      </c>
      <c r="E367" t="str">
        <f ca="1">IFERROR(__xludf.DUMMYFUNCTION("""COMPUTED_VALUE"""),"20 КРЫТЫЕ")</f>
        <v>20 КРЫТЫЕ</v>
      </c>
      <c r="F367">
        <f ca="1">IFERROR(__xludf.DUMMYFUNCTION("""COMPUTED_VALUE"""),69214)</f>
        <v>69214</v>
      </c>
      <c r="G367" t="str">
        <f ca="1">IFERROR(__xludf.DUMMYFUNCTION("""COMPUTED_VALUE"""),"МАКУЛАТУРА")</f>
        <v>МАКУЛАТУРА</v>
      </c>
      <c r="H367">
        <f ca="1">IFERROR(__xludf.DUMMYFUNCTION("""COMPUTED_VALUE"""),35)</f>
        <v>35</v>
      </c>
      <c r="I367">
        <f ca="1">IFERROR(__xludf.DUMMYFUNCTION("""COMPUTED_VALUE"""),3925)</f>
        <v>3925</v>
      </c>
      <c r="J367" t="str">
        <f ca="1">IFERROR(__xludf.DUMMYFUNCTION("""COMPUTED_VALUE"""),"3452 (35400-035-35000) КОВЕЛЬ - ЗДОЛБУНОВ")</f>
        <v>3452 (35400-035-35000) КОВЕЛЬ - ЗДОЛБУНОВ</v>
      </c>
      <c r="K367">
        <f ca="1">IFERROR(__xludf.DUMMYFUNCTION("""COMPUTED_VALUE"""),35000)</f>
        <v>35000</v>
      </c>
      <c r="L367" t="str">
        <f ca="1">IFERROR(__xludf.DUMMYFUNCTION("""COMPUTED_VALUE"""),"ЗДОЛБУНОВ")</f>
        <v>ЗДОЛБУНОВ</v>
      </c>
      <c r="M367" t="str">
        <f ca="1">IFERROR(__xludf.DUMMYFUNCTION("""COMPUTED_VALUE"""),"12.08.21 04-22")</f>
        <v>12.08.21 04-22</v>
      </c>
      <c r="N367" t="str">
        <f ca="1">IFERROR(__xludf.DUMMYFUNCTION("""COMPUTED_VALUE"""),"04 РАСФ")</f>
        <v>04 РАСФ</v>
      </c>
      <c r="O367">
        <f ca="1">IFERROR(__xludf.DUMMYFUNCTION("""COMPUTED_VALUE"""),34170)</f>
        <v>34170</v>
      </c>
      <c r="P367" t="str">
        <f ca="1">IFERROR(__xludf.DUMMYFUNCTION("""COMPUTED_VALUE"""),"ПОЛОННОЕ")</f>
        <v>ПОЛОННОЕ</v>
      </c>
      <c r="Q367">
        <f ca="1">IFERROR(__xludf.DUMMYFUNCTION("""COMPUTED_VALUE"""),35260)</f>
        <v>35260</v>
      </c>
      <c r="R367" t="str">
        <f ca="1">IFERROR(__xludf.DUMMYFUNCTION("""COMPUTED_VALUE"""),"ИЗОВ-Э-ПКП")</f>
        <v>ИЗОВ-Э-ПКП</v>
      </c>
      <c r="S367" t="str">
        <f ca="1">IFERROR(__xludf.DUMMYFUNCTION("""COMPUTED_VALUE"""),"08.08.21 16-50")</f>
        <v>08.08.21 16-50</v>
      </c>
      <c r="U367" t="str">
        <f ca="1">IFERROR(__xludf.DUMMYFUNCTION("""COMPUTED_VALUE"""),"25.04.2022 ДР")</f>
        <v>25.04.2022 ДР</v>
      </c>
      <c r="AA367" t="str">
        <f ca="1">IFERROR(__xludf.DUMMYFUNCTION("""COMPUTED_VALUE"""),"11-217")</f>
        <v>11-217</v>
      </c>
      <c r="AB367" t="str">
        <f ca="1">IFERROR(__xludf.DUMMYFUNCTION("""COMPUTED_VALUE"""),"35 ЛЬВ")</f>
        <v>35 ЛЬВ</v>
      </c>
      <c r="AC367" t="str">
        <f ca="1">IFERROR(__xludf.DUMMYFUNCTION("""COMPUTED_VALUE"""),"35400 КОВЕЛЬ")</f>
        <v>35400 КОВЕЛЬ</v>
      </c>
      <c r="AD367" t="str">
        <f ca="1">IFERROR(__xludf.DUMMYFUNCTION("""COMPUTED_VALUE"""),"06.04.21 08-00")</f>
        <v>06.04.21 08-00</v>
      </c>
      <c r="AE367" t="str">
        <f ca="1">IFERROR(__xludf.DUMMYFUNCTION("""COMPUTED_VALUE"""),"203 PAЗНOCТЬ БAЗ ТEЛEЖКИ (БОЛЕЕ 15 ММ)")</f>
        <v>203 PAЗНOCТЬ БAЗ ТEЛEЖКИ (БОЛЕЕ 15 ММ)</v>
      </c>
      <c r="AF367" t="str">
        <f ca="1">IFERROR(__xludf.DUMMYFUNCTION("""COMPUTED_VALUE"""),"35 ЛЬВ")</f>
        <v>35 ЛЬВ</v>
      </c>
      <c r="AG367" t="str">
        <f ca="1">IFERROR(__xludf.DUMMYFUNCTION("""COMPUTED_VALUE"""),"35400 КОВЕЛЬ")</f>
        <v>35400 КОВЕЛЬ</v>
      </c>
      <c r="AH367" t="str">
        <f ca="1">IFERROR(__xludf.DUMMYFUNCTION("""COMPUTED_VALUE"""),"13.04.21 17-30")</f>
        <v>13.04.21 17-30</v>
      </c>
      <c r="AI367" s="21">
        <f ca="1">IFERROR(__xludf.DUMMYFUNCTION("""COMPUTED_VALUE"""),44420.3583449074)</f>
        <v>44420.358344907399</v>
      </c>
    </row>
    <row r="368" spans="1:35" ht="13" x14ac:dyDescent="0.15">
      <c r="A368">
        <f ca="1">IFERROR(__xludf.DUMMYFUNCTION("""COMPUTED_VALUE"""),1703)</f>
        <v>1703</v>
      </c>
      <c r="B368" t="str">
        <f ca="1">IFERROR(__xludf.DUMMYFUNCTION("""COMPUTED_VALUE"""),"ВИК")</f>
        <v>ВИК</v>
      </c>
      <c r="C368" t="str">
        <f ca="1">IFERROR(__xludf.DUMMYFUNCTION("""COMPUTED_VALUE"""),"ВИК")</f>
        <v>ВИК</v>
      </c>
      <c r="D368">
        <f ca="1">IFERROR(__xludf.DUMMYFUNCTION("""COMPUTED_VALUE"""),24383663)</f>
        <v>24383663</v>
      </c>
      <c r="E368" t="str">
        <f ca="1">IFERROR(__xludf.DUMMYFUNCTION("""COMPUTED_VALUE"""),"20 КРЫТЫЕ")</f>
        <v>20 КРЫТЫЕ</v>
      </c>
      <c r="F368">
        <f ca="1">IFERROR(__xludf.DUMMYFUNCTION("""COMPUTED_VALUE"""),23304)</f>
        <v>23304</v>
      </c>
      <c r="G368" t="str">
        <f ca="1">IFERROR(__xludf.DUMMYFUNCTION("""COMPUTED_VALUE"""),"ГИПС ПР")</f>
        <v>ГИПС ПР</v>
      </c>
      <c r="H368">
        <f ca="1">IFERROR(__xludf.DUMMYFUNCTION("""COMPUTED_VALUE"""),66)</f>
        <v>66</v>
      </c>
      <c r="I368">
        <f ca="1">IFERROR(__xludf.DUMMYFUNCTION("""COMPUTED_VALUE"""),1163)</f>
        <v>1163</v>
      </c>
      <c r="J368" t="str">
        <f ca="1">IFERROR(__xludf.DUMMYFUNCTION("""COMPUTED_VALUE"""),"3113 (48620-031-48560) ВОЛНОВАХА - МАРИУП-СОРТ")</f>
        <v>3113 (48620-031-48560) ВОЛНОВАХА - МАРИУП-СОРТ</v>
      </c>
      <c r="K368">
        <f ca="1">IFERROR(__xludf.DUMMYFUNCTION("""COMPUTED_VALUE"""),48560)</f>
        <v>48560</v>
      </c>
      <c r="L368" t="str">
        <f ca="1">IFERROR(__xludf.DUMMYFUNCTION("""COMPUTED_VALUE"""),"МАРИУП-СОРТ")</f>
        <v>МАРИУП-СОРТ</v>
      </c>
      <c r="M368" t="str">
        <f ca="1">IFERROR(__xludf.DUMMYFUNCTION("""COMPUTED_VALUE"""),"10.08.21 14-16")</f>
        <v>10.08.21 14-16</v>
      </c>
      <c r="N368" t="str">
        <f ca="1">IFERROR(__xludf.DUMMYFUNCTION("""COMPUTED_VALUE"""),"04 РАСФ")</f>
        <v>04 РАСФ</v>
      </c>
      <c r="O368">
        <f ca="1">IFERROR(__xludf.DUMMYFUNCTION("""COMPUTED_VALUE"""),48560)</f>
        <v>48560</v>
      </c>
      <c r="P368" t="str">
        <f ca="1">IFERROR(__xludf.DUMMYFUNCTION("""COMPUTED_VALUE"""),"МАРИУП-СОРТ")</f>
        <v>МАРИУП-СОРТ</v>
      </c>
      <c r="Q368">
        <f ca="1">IFERROR(__xludf.DUMMYFUNCTION("""COMPUTED_VALUE"""),49620)</f>
        <v>49620</v>
      </c>
      <c r="R368" t="str">
        <f ca="1">IFERROR(__xludf.DUMMYFUNCTION("""COMPUTED_VALUE"""),"ДЕКОНСКАЯ")</f>
        <v>ДЕКОНСКАЯ</v>
      </c>
      <c r="S368" t="str">
        <f ca="1">IFERROR(__xludf.DUMMYFUNCTION("""COMPUTED_VALUE"""),"03.08.21 20-30")</f>
        <v>03.08.21 20-30</v>
      </c>
      <c r="T368">
        <f ca="1">IFERROR(__xludf.DUMMYFUNCTION("""COMPUTED_VALUE"""),4149)</f>
        <v>4149</v>
      </c>
      <c r="U368" t="str">
        <f ca="1">IFERROR(__xludf.DUMMYFUNCTION("""COMPUTED_VALUE"""),"23.09.2021 ДР")</f>
        <v>23.09.2021 ДР</v>
      </c>
      <c r="AA368" t="str">
        <f ca="1">IFERROR(__xludf.DUMMYFUNCTION("""COMPUTED_VALUE"""),"11-217")</f>
        <v>11-217</v>
      </c>
      <c r="AB368" t="str">
        <f ca="1">IFERROR(__xludf.DUMMYFUNCTION("""COMPUTED_VALUE"""),"43 ЮЖН")</f>
        <v>43 ЮЖН</v>
      </c>
      <c r="AC368" t="str">
        <f ca="1">IFERROR(__xludf.DUMMYFUNCTION("""COMPUTED_VALUE"""),"44020 ОСНОВА")</f>
        <v>44020 ОСНОВА</v>
      </c>
      <c r="AD368" t="str">
        <f ca="1">IFERROR(__xludf.DUMMYFUNCTION("""COMPUTED_VALUE"""),"14.07.21 11-40")</f>
        <v>14.07.21 11-40</v>
      </c>
      <c r="AE368" t="str">
        <f ca="1">IFERROR(__xludf.DUMMYFUNCTION("""COMPUTED_VALUE"""),"537 НEИCПPAВНOCТЬ ЗAПOPA ДВEPИ")</f>
        <v>537 НEИCПPAВНOCТЬ ЗAПOPA ДВEPИ</v>
      </c>
      <c r="AF368" t="str">
        <f ca="1">IFERROR(__xludf.DUMMYFUNCTION("""COMPUTED_VALUE"""),"43 ЮЖН")</f>
        <v>43 ЮЖН</v>
      </c>
      <c r="AG368" t="str">
        <f ca="1">IFERROR(__xludf.DUMMYFUNCTION("""COMPUTED_VALUE"""),"44020 ОСНОВА")</f>
        <v>44020 ОСНОВА</v>
      </c>
      <c r="AH368" t="str">
        <f ca="1">IFERROR(__xludf.DUMMYFUNCTION("""COMPUTED_VALUE"""),"16.07.21 17-05")</f>
        <v>16.07.21 17-05</v>
      </c>
      <c r="AI368" s="21">
        <f ca="1">IFERROR(__xludf.DUMMYFUNCTION("""COMPUTED_VALUE"""),44420.3583449074)</f>
        <v>44420.358344907399</v>
      </c>
    </row>
    <row r="369" spans="1:35" ht="13" x14ac:dyDescent="0.15">
      <c r="A369">
        <f ca="1">IFERROR(__xludf.DUMMYFUNCTION("""COMPUTED_VALUE"""),1704)</f>
        <v>1704</v>
      </c>
      <c r="B369" t="str">
        <f ca="1">IFERROR(__xludf.DUMMYFUNCTION("""COMPUTED_VALUE"""),"ВИК")</f>
        <v>ВИК</v>
      </c>
      <c r="C369" t="str">
        <f ca="1">IFERROR(__xludf.DUMMYFUNCTION("""COMPUTED_VALUE"""),"ВИК")</f>
        <v>ВИК</v>
      </c>
      <c r="D369">
        <f ca="1">IFERROR(__xludf.DUMMYFUNCTION("""COMPUTED_VALUE"""),24383713)</f>
        <v>24383713</v>
      </c>
      <c r="E369" t="str">
        <f ca="1">IFERROR(__xludf.DUMMYFUNCTION("""COMPUTED_VALUE"""),"20 КРЫТЫЕ")</f>
        <v>20 КРЫТЫЕ</v>
      </c>
      <c r="F369">
        <f ca="1">IFERROR(__xludf.DUMMYFUNCTION("""COMPUTED_VALUE"""),69214)</f>
        <v>69214</v>
      </c>
      <c r="G369" t="str">
        <f ca="1">IFERROR(__xludf.DUMMYFUNCTION("""COMPUTED_VALUE"""),"МАКУЛАТУРА")</f>
        <v>МАКУЛАТУРА</v>
      </c>
      <c r="H369">
        <f ca="1">IFERROR(__xludf.DUMMYFUNCTION("""COMPUTED_VALUE"""),37)</f>
        <v>37</v>
      </c>
      <c r="I369">
        <f ca="1">IFERROR(__xludf.DUMMYFUNCTION("""COMPUTED_VALUE"""),3925)</f>
        <v>3925</v>
      </c>
      <c r="J369" t="str">
        <f ca="1">IFERROR(__xludf.DUMMYFUNCTION("""COMPUTED_VALUE"""),"3404 (34000-060-34270) ШЕПЕТОВКА - КАЗАТИН I")</f>
        <v>3404 (34000-060-34270) ШЕПЕТОВКА - КАЗАТИН I</v>
      </c>
      <c r="K369">
        <f ca="1">IFERROR(__xludf.DUMMYFUNCTION("""COMPUTED_VALUE"""),34170)</f>
        <v>34170</v>
      </c>
      <c r="L369" t="str">
        <f ca="1">IFERROR(__xludf.DUMMYFUNCTION("""COMPUTED_VALUE"""),"ПОЛОННОЕ")</f>
        <v>ПОЛОННОЕ</v>
      </c>
      <c r="M369" t="str">
        <f ca="1">IFERROR(__xludf.DUMMYFUNCTION("""COMPUTED_VALUE"""),"12.08.21 08-10")</f>
        <v>12.08.21 08-10</v>
      </c>
      <c r="N369" t="str">
        <f ca="1">IFERROR(__xludf.DUMMYFUNCTION("""COMPUTED_VALUE"""),"72 ОТЦ")</f>
        <v>72 ОТЦ</v>
      </c>
      <c r="O369">
        <f ca="1">IFERROR(__xludf.DUMMYFUNCTION("""COMPUTED_VALUE"""),34170)</f>
        <v>34170</v>
      </c>
      <c r="P369" t="str">
        <f ca="1">IFERROR(__xludf.DUMMYFUNCTION("""COMPUTED_VALUE"""),"ПОЛОННОЕ")</f>
        <v>ПОЛОННОЕ</v>
      </c>
      <c r="Q369">
        <f ca="1">IFERROR(__xludf.DUMMYFUNCTION("""COMPUTED_VALUE"""),35260)</f>
        <v>35260</v>
      </c>
      <c r="R369" t="str">
        <f ca="1">IFERROR(__xludf.DUMMYFUNCTION("""COMPUTED_VALUE"""),"ИЗОВ-Э-ПКП")</f>
        <v>ИЗОВ-Э-ПКП</v>
      </c>
      <c r="S369" t="str">
        <f ca="1">IFERROR(__xludf.DUMMYFUNCTION("""COMPUTED_VALUE"""),"10.08.21 16-15")</f>
        <v>10.08.21 16-15</v>
      </c>
      <c r="U369" t="str">
        <f ca="1">IFERROR(__xludf.DUMMYFUNCTION("""COMPUTED_VALUE"""),"12.08.2023 ДР")</f>
        <v>12.08.2023 ДР</v>
      </c>
      <c r="AA369" t="str">
        <f ca="1">IFERROR(__xludf.DUMMYFUNCTION("""COMPUTED_VALUE"""),"11-217")</f>
        <v>11-217</v>
      </c>
      <c r="AB369" t="str">
        <f ca="1">IFERROR(__xludf.DUMMYFUNCTION("""COMPUTED_VALUE"""),"40 ОД")</f>
        <v>40 ОД</v>
      </c>
      <c r="AC369" t="str">
        <f ca="1">IFERROR(__xludf.DUMMYFUNCTION("""COMPUTED_VALUE"""),"41190 ПОМОШНАЯ")</f>
        <v>41190 ПОМОШНАЯ</v>
      </c>
      <c r="AD369" t="str">
        <f ca="1">IFERROR(__xludf.DUMMYFUNCTION("""COMPUTED_VALUE"""),"11.08.20 19-00")</f>
        <v>11.08.20 19-00</v>
      </c>
      <c r="AE369" t="str">
        <f ca="1">IFERROR(__xludf.DUMMYFUNCTION("""COMPUTED_VALUE"""),"570 ИCТEК КAЛЕНДАРНЫЙ CPOК ДEПOВCКОГО PEМOНТA")</f>
        <v>570 ИCТEК КAЛЕНДАРНЫЙ CPOК ДEПOВCКОГО PEМOНТA</v>
      </c>
      <c r="AF369" t="str">
        <f ca="1">IFERROR(__xludf.DUMMYFUNCTION("""COMPUTED_VALUE"""),"40 ОД")</f>
        <v>40 ОД</v>
      </c>
      <c r="AG369" t="str">
        <f ca="1">IFERROR(__xludf.DUMMYFUNCTION("""COMPUTED_VALUE"""),"41190 ПОМОШНАЯ")</f>
        <v>41190 ПОМОШНАЯ</v>
      </c>
      <c r="AH369" t="str">
        <f ca="1">IFERROR(__xludf.DUMMYFUNCTION("""COMPUTED_VALUE"""),"12.08.20 17-00")</f>
        <v>12.08.20 17-00</v>
      </c>
      <c r="AI369" s="21">
        <f ca="1">IFERROR(__xludf.DUMMYFUNCTION("""COMPUTED_VALUE"""),44420.3583449074)</f>
        <v>44420.358344907399</v>
      </c>
    </row>
    <row r="370" spans="1:35" ht="13" x14ac:dyDescent="0.15">
      <c r="A370">
        <f ca="1">IFERROR(__xludf.DUMMYFUNCTION("""COMPUTED_VALUE"""),1705)</f>
        <v>1705</v>
      </c>
      <c r="B370" t="str">
        <f ca="1">IFERROR(__xludf.DUMMYFUNCTION("""COMPUTED_VALUE"""),"ВИК")</f>
        <v>ВИК</v>
      </c>
      <c r="C370" t="str">
        <f ca="1">IFERROR(__xludf.DUMMYFUNCTION("""COMPUTED_VALUE"""),"ВИК")</f>
        <v>ВИК</v>
      </c>
      <c r="D370">
        <f ca="1">IFERROR(__xludf.DUMMYFUNCTION("""COMPUTED_VALUE"""),24383739)</f>
        <v>24383739</v>
      </c>
      <c r="E370" t="str">
        <f ca="1">IFERROR(__xludf.DUMMYFUNCTION("""COMPUTED_VALUE"""),"20 КРЫТЫЕ")</f>
        <v>20 КРЫТЫЕ</v>
      </c>
      <c r="F370">
        <f ca="1">IFERROR(__xludf.DUMMYFUNCTION("""COMPUTED_VALUE"""),23304)</f>
        <v>23304</v>
      </c>
      <c r="G370" t="str">
        <f ca="1">IFERROR(__xludf.DUMMYFUNCTION("""COMPUTED_VALUE"""),"ГИПС ПР")</f>
        <v>ГИПС ПР</v>
      </c>
      <c r="H370">
        <f ca="1">IFERROR(__xludf.DUMMYFUNCTION("""COMPUTED_VALUE"""),67)</f>
        <v>67</v>
      </c>
      <c r="I370">
        <f ca="1">IFERROR(__xludf.DUMMYFUNCTION("""COMPUTED_VALUE"""),4951)</f>
        <v>4951</v>
      </c>
      <c r="J370" t="str">
        <f ca="1">IFERROR(__xludf.DUMMYFUNCTION("""COMPUTED_VALUE"""),"2179 (44020-249-32000) ОСНОВА - ДАРНИЦА")</f>
        <v>2179 (44020-249-32000) ОСНОВА - ДАРНИЦА</v>
      </c>
      <c r="K370">
        <f ca="1">IFERROR(__xludf.DUMMYFUNCTION("""COMPUTED_VALUE"""),44870)</f>
        <v>44870</v>
      </c>
      <c r="L370" t="str">
        <f ca="1">IFERROR(__xludf.DUMMYFUNCTION("""COMPUTED_VALUE"""),"ПОЛТАВА-ЮЖН")</f>
        <v>ПОЛТАВА-ЮЖН</v>
      </c>
      <c r="M370" t="str">
        <f ca="1">IFERROR(__xludf.DUMMYFUNCTION("""COMPUTED_VALUE"""),"11.08.21 16-35")</f>
        <v>11.08.21 16-35</v>
      </c>
      <c r="N370" t="str">
        <f ca="1">IFERROR(__xludf.DUMMYFUNCTION("""COMPUTED_VALUE"""),"51 ПРИБ")</f>
        <v>51 ПРИБ</v>
      </c>
      <c r="O370">
        <f ca="1">IFERROR(__xludf.DUMMYFUNCTION("""COMPUTED_VALUE"""),32060)</f>
        <v>32060</v>
      </c>
      <c r="P370" t="str">
        <f ca="1">IFERROR(__xludf.DUMMYFUNCTION("""COMPUTED_VALUE"""),"ПОЧАЙНА")</f>
        <v>ПОЧАЙНА</v>
      </c>
      <c r="Q370">
        <f ca="1">IFERROR(__xludf.DUMMYFUNCTION("""COMPUTED_VALUE"""),49620)</f>
        <v>49620</v>
      </c>
      <c r="R370" t="str">
        <f ca="1">IFERROR(__xludf.DUMMYFUNCTION("""COMPUTED_VALUE"""),"ДЕКОНСКАЯ")</f>
        <v>ДЕКОНСКАЯ</v>
      </c>
      <c r="S370" t="str">
        <f ca="1">IFERROR(__xludf.DUMMYFUNCTION("""COMPUTED_VALUE"""),"09.08.21 11-40")</f>
        <v>09.08.21 11-40</v>
      </c>
      <c r="T370">
        <f ca="1">IFERROR(__xludf.DUMMYFUNCTION("""COMPUTED_VALUE"""),4149)</f>
        <v>4149</v>
      </c>
      <c r="U370" t="str">
        <f ca="1">IFERROR(__xludf.DUMMYFUNCTION("""COMPUTED_VALUE"""),"25.04.2022 ДР")</f>
        <v>25.04.2022 ДР</v>
      </c>
      <c r="AA370" t="str">
        <f ca="1">IFERROR(__xludf.DUMMYFUNCTION("""COMPUTED_VALUE"""),"11-217")</f>
        <v>11-217</v>
      </c>
      <c r="AB370" t="str">
        <f ca="1">IFERROR(__xludf.DUMMYFUNCTION("""COMPUTED_VALUE"""),"40 ОД")</f>
        <v>40 ОД</v>
      </c>
      <c r="AC370" t="str">
        <f ca="1">IFERROR(__xludf.DUMMYFUNCTION("""COMPUTED_VALUE"""),"41190 ПОМОШНАЯ")</f>
        <v>41190 ПОМОШНАЯ</v>
      </c>
      <c r="AD370" t="str">
        <f ca="1">IFERROR(__xludf.DUMMYFUNCTION("""COMPUTED_VALUE"""),"04.04.19 10-00")</f>
        <v>04.04.19 10-00</v>
      </c>
      <c r="AE370" t="str">
        <f ca="1">IFERROR(__xludf.DUMMYFUNCTION("""COMPUTED_VALUE"""),"571 ИCТEК КAЛЕНДАРНЫЙ CPOК КAПИТAЛЬНОГО PEМOНТA")</f>
        <v>571 ИCТEК КAЛЕНДАРНЫЙ CPOК КAПИТAЛЬНОГО PEМOНТA</v>
      </c>
      <c r="AF370" t="str">
        <f ca="1">IFERROR(__xludf.DUMMYFUNCTION("""COMPUTED_VALUE"""),"40 ОД")</f>
        <v>40 ОД</v>
      </c>
      <c r="AG370" t="str">
        <f ca="1">IFERROR(__xludf.DUMMYFUNCTION("""COMPUTED_VALUE"""),"41190 ПОМОШНАЯ")</f>
        <v>41190 ПОМОШНАЯ</v>
      </c>
      <c r="AH370" t="str">
        <f ca="1">IFERROR(__xludf.DUMMYFUNCTION("""COMPUTED_VALUE"""),"25.04.19 15-30")</f>
        <v>25.04.19 15-30</v>
      </c>
      <c r="AI370" s="21">
        <f ca="1">IFERROR(__xludf.DUMMYFUNCTION("""COMPUTED_VALUE"""),44420.3583449074)</f>
        <v>44420.358344907399</v>
      </c>
    </row>
    <row r="371" spans="1:35" ht="13" x14ac:dyDescent="0.15">
      <c r="A371">
        <f ca="1">IFERROR(__xludf.DUMMYFUNCTION("""COMPUTED_VALUE"""),1706)</f>
        <v>1706</v>
      </c>
      <c r="B371" t="str">
        <f ca="1">IFERROR(__xludf.DUMMYFUNCTION("""COMPUTED_VALUE"""),"ВИК")</f>
        <v>ВИК</v>
      </c>
      <c r="C371" t="str">
        <f ca="1">IFERROR(__xludf.DUMMYFUNCTION("""COMPUTED_VALUE"""),"ВИК")</f>
        <v>ВИК</v>
      </c>
      <c r="D371">
        <f ca="1">IFERROR(__xludf.DUMMYFUNCTION("""COMPUTED_VALUE"""),24383762)</f>
        <v>24383762</v>
      </c>
      <c r="E371" t="str">
        <f ca="1">IFERROR(__xludf.DUMMYFUNCTION("""COMPUTED_VALUE"""),"20 КРЫТЫЕ")</f>
        <v>20 КРЫТЫЕ</v>
      </c>
      <c r="F371">
        <f ca="1">IFERROR(__xludf.DUMMYFUNCTION("""COMPUTED_VALUE"""),23304)</f>
        <v>23304</v>
      </c>
      <c r="G371" t="str">
        <f ca="1">IFERROR(__xludf.DUMMYFUNCTION("""COMPUTED_VALUE"""),"ГИПС ПР")</f>
        <v>ГИПС ПР</v>
      </c>
      <c r="H371">
        <f ca="1">IFERROR(__xludf.DUMMYFUNCTION("""COMPUTED_VALUE"""),68)</f>
        <v>68</v>
      </c>
      <c r="I371">
        <f ca="1">IFERROR(__xludf.DUMMYFUNCTION("""COMPUTED_VALUE"""),3314)</f>
        <v>3314</v>
      </c>
      <c r="J371" t="str">
        <f ca="1">IFERROR(__xludf.DUMMYFUNCTION("""COMPUTED_VALUE"""),"2723 (44020-120-32000) ОСНОВА - ДАРНИЦА")</f>
        <v>2723 (44020-120-32000) ОСНОВА - ДАРНИЦА</v>
      </c>
      <c r="K371">
        <f ca="1">IFERROR(__xludf.DUMMYFUNCTION("""COMPUTED_VALUE"""),32000)</f>
        <v>32000</v>
      </c>
      <c r="L371" t="str">
        <f ca="1">IFERROR(__xludf.DUMMYFUNCTION("""COMPUTED_VALUE"""),"ДАРНИЦА")</f>
        <v>ДАРНИЦА</v>
      </c>
      <c r="M371" t="str">
        <f ca="1">IFERROR(__xludf.DUMMYFUNCTION("""COMPUTED_VALUE"""),"12.08.21 05-01")</f>
        <v>12.08.21 05-01</v>
      </c>
      <c r="N371" t="str">
        <f ca="1">IFERROR(__xludf.DUMMYFUNCTION("""COMPUTED_VALUE"""),"04 РАСФ")</f>
        <v>04 РАСФ</v>
      </c>
      <c r="O371">
        <f ca="1">IFERROR(__xludf.DUMMYFUNCTION("""COMPUTED_VALUE"""),32040)</f>
        <v>32040</v>
      </c>
      <c r="P371" t="str">
        <f ca="1">IFERROR(__xludf.DUMMYFUNCTION("""COMPUTED_VALUE"""),"ГРУШКИ")</f>
        <v>ГРУШКИ</v>
      </c>
      <c r="Q371">
        <f ca="1">IFERROR(__xludf.DUMMYFUNCTION("""COMPUTED_VALUE"""),49620)</f>
        <v>49620</v>
      </c>
      <c r="R371" t="str">
        <f ca="1">IFERROR(__xludf.DUMMYFUNCTION("""COMPUTED_VALUE"""),"ДЕКОНСКАЯ")</f>
        <v>ДЕКОНСКАЯ</v>
      </c>
      <c r="S371" t="str">
        <f ca="1">IFERROR(__xludf.DUMMYFUNCTION("""COMPUTED_VALUE"""),"08.08.21 00-05")</f>
        <v>08.08.21 00-05</v>
      </c>
      <c r="T371">
        <f ca="1">IFERROR(__xludf.DUMMYFUNCTION("""COMPUTED_VALUE"""),4149)</f>
        <v>4149</v>
      </c>
      <c r="U371" t="str">
        <f ca="1">IFERROR(__xludf.DUMMYFUNCTION("""COMPUTED_VALUE"""),"04.05.2022 ДР")</f>
        <v>04.05.2022 ДР</v>
      </c>
      <c r="AA371" t="str">
        <f ca="1">IFERROR(__xludf.DUMMYFUNCTION("""COMPUTED_VALUE"""),"11-217")</f>
        <v>11-217</v>
      </c>
      <c r="AB371" t="str">
        <f ca="1">IFERROR(__xludf.DUMMYFUNCTION("""COMPUTED_VALUE"""),"40 ОД")</f>
        <v>40 ОД</v>
      </c>
      <c r="AC371" t="str">
        <f ca="1">IFERROR(__xludf.DUMMYFUNCTION("""COMPUTED_VALUE"""),"41190 ПОМОШНАЯ")</f>
        <v>41190 ПОМОШНАЯ</v>
      </c>
      <c r="AD371" t="str">
        <f ca="1">IFERROR(__xludf.DUMMYFUNCTION("""COMPUTED_VALUE"""),"04.04.19 10-00")</f>
        <v>04.04.19 10-00</v>
      </c>
      <c r="AE371" t="str">
        <f ca="1">IFERROR(__xludf.DUMMYFUNCTION("""COMPUTED_VALUE"""),"571 ИCТEК КAЛЕНДАРНЫЙ CPOК КAПИТAЛЬНОГО PEМOНТA")</f>
        <v>571 ИCТEК КAЛЕНДАРНЫЙ CPOК КAПИТAЛЬНОГО PEМOНТA</v>
      </c>
      <c r="AF371" t="str">
        <f ca="1">IFERROR(__xludf.DUMMYFUNCTION("""COMPUTED_VALUE"""),"40 ОД")</f>
        <v>40 ОД</v>
      </c>
      <c r="AG371" t="str">
        <f ca="1">IFERROR(__xludf.DUMMYFUNCTION("""COMPUTED_VALUE"""),"41190 ПОМОШНАЯ")</f>
        <v>41190 ПОМОШНАЯ</v>
      </c>
      <c r="AH371" t="str">
        <f ca="1">IFERROR(__xludf.DUMMYFUNCTION("""COMPUTED_VALUE"""),"04.05.19 15-50")</f>
        <v>04.05.19 15-50</v>
      </c>
      <c r="AI371" s="21">
        <f ca="1">IFERROR(__xludf.DUMMYFUNCTION("""COMPUTED_VALUE"""),44420.3583449074)</f>
        <v>44420.358344907399</v>
      </c>
    </row>
    <row r="372" spans="1:35" ht="13" x14ac:dyDescent="0.15">
      <c r="A372">
        <f ca="1">IFERROR(__xludf.DUMMYFUNCTION("""COMPUTED_VALUE"""),1707)</f>
        <v>1707</v>
      </c>
      <c r="B372" t="str">
        <f ca="1">IFERROR(__xludf.DUMMYFUNCTION("""COMPUTED_VALUE"""),"ВИК")</f>
        <v>ВИК</v>
      </c>
      <c r="C372" t="str">
        <f ca="1">IFERROR(__xludf.DUMMYFUNCTION("""COMPUTED_VALUE"""),"ВИК")</f>
        <v>ВИК</v>
      </c>
      <c r="D372">
        <f ca="1">IFERROR(__xludf.DUMMYFUNCTION("""COMPUTED_VALUE"""),24383788)</f>
        <v>24383788</v>
      </c>
      <c r="E372" t="str">
        <f ca="1">IFERROR(__xludf.DUMMYFUNCTION("""COMPUTED_VALUE"""),"20 КРЫТЫЕ")</f>
        <v>20 КРЫТЫЕ</v>
      </c>
      <c r="F372">
        <f ca="1">IFERROR(__xludf.DUMMYFUNCTION("""COMPUTED_VALUE"""),42103)</f>
        <v>42103</v>
      </c>
      <c r="G372" t="str">
        <f ca="1">IFERROR(__xludf.DUMMYFUNCTION("""COMPUTED_VALUE"""),"ВАГОНЫ ЖД СВ")</f>
        <v>ВАГОНЫ ЖД СВ</v>
      </c>
      <c r="H372">
        <f ca="1">IFERROR(__xludf.DUMMYFUNCTION("""COMPUTED_VALUE"""),0)</f>
        <v>0</v>
      </c>
      <c r="I372">
        <f ca="1">IFERROR(__xludf.DUMMYFUNCTION("""COMPUTED_VALUE"""),4149)</f>
        <v>4149</v>
      </c>
      <c r="J372" t="str">
        <f ca="1">IFERROR(__xludf.DUMMYFUNCTION("""COMPUTED_VALUE"""),"2514 (41510-035-46000) НИКОЛАЕВ - ЗАПОРОЖ-ЛЕВ")</f>
        <v>2514 (41510-035-46000) НИКОЛАЕВ - ЗАПОРОЖ-ЛЕВ</v>
      </c>
      <c r="K372">
        <f ca="1">IFERROR(__xludf.DUMMYFUNCTION("""COMPUTED_VALUE"""),46640)</f>
        <v>46640</v>
      </c>
      <c r="L372" t="str">
        <f ca="1">IFERROR(__xludf.DUMMYFUNCTION("""COMPUTED_VALUE"""),"ТОК")</f>
        <v>ТОК</v>
      </c>
      <c r="M372" t="str">
        <f ca="1">IFERROR(__xludf.DUMMYFUNCTION("""COMPUTED_VALUE"""),"12.08.21 08-15")</f>
        <v>12.08.21 08-15</v>
      </c>
      <c r="N372" t="str">
        <f ca="1">IFERROR(__xludf.DUMMYFUNCTION("""COMPUTED_VALUE"""),"03 ПРОС")</f>
        <v>03 ПРОС</v>
      </c>
      <c r="O372">
        <f ca="1">IFERROR(__xludf.DUMMYFUNCTION("""COMPUTED_VALUE"""),49620)</f>
        <v>49620</v>
      </c>
      <c r="P372" t="str">
        <f ca="1">IFERROR(__xludf.DUMMYFUNCTION("""COMPUTED_VALUE"""),"ДЕКОНСКАЯ")</f>
        <v>ДЕКОНСКАЯ</v>
      </c>
      <c r="Q372">
        <f ca="1">IFERROR(__xludf.DUMMYFUNCTION("""COMPUTED_VALUE"""),41780)</f>
        <v>41780</v>
      </c>
      <c r="R372" t="str">
        <f ca="1">IFERROR(__xludf.DUMMYFUNCTION("""COMPUTED_VALUE"""),"ХЕРСОН")</f>
        <v>ХЕРСОН</v>
      </c>
      <c r="S372" t="str">
        <f ca="1">IFERROR(__xludf.DUMMYFUNCTION("""COMPUTED_VALUE"""),"07.08.21 11-40")</f>
        <v>07.08.21 11-40</v>
      </c>
      <c r="T372">
        <f ca="1">IFERROR(__xludf.DUMMYFUNCTION("""COMPUTED_VALUE"""),4456)</f>
        <v>4456</v>
      </c>
      <c r="U372" t="str">
        <f ca="1">IFERROR(__xludf.DUMMYFUNCTION("""COMPUTED_VALUE"""),"18.07.2023 ДР")</f>
        <v>18.07.2023 ДР</v>
      </c>
      <c r="AA372" t="str">
        <f ca="1">IFERROR(__xludf.DUMMYFUNCTION("""COMPUTED_VALUE"""),"11-217")</f>
        <v>11-217</v>
      </c>
      <c r="AB372" t="str">
        <f ca="1">IFERROR(__xludf.DUMMYFUNCTION("""COMPUTED_VALUE"""),"40 ОД")</f>
        <v>40 ОД</v>
      </c>
      <c r="AC372" t="str">
        <f ca="1">IFERROR(__xludf.DUMMYFUNCTION("""COMPUTED_VALUE"""),"41190 ПОМОШНАЯ")</f>
        <v>41190 ПОМОШНАЯ</v>
      </c>
      <c r="AD372" t="str">
        <f ca="1">IFERROR(__xludf.DUMMYFUNCTION("""COMPUTED_VALUE"""),"05.07.21 11-00")</f>
        <v>05.07.21 11-00</v>
      </c>
      <c r="AE372" t="str">
        <f ca="1">IFERROR(__xludf.DUMMYFUNCTION("""COMPUTED_VALUE"""),"570 ИCТEК КAЛЕНДАРНЫЙ CPOК ДEПOВCКОГО PEМOНТA")</f>
        <v>570 ИCТEК КAЛЕНДАРНЫЙ CPOК ДEПOВCКОГО PEМOНТA</v>
      </c>
      <c r="AF372" t="str">
        <f ca="1">IFERROR(__xludf.DUMMYFUNCTION("""COMPUTED_VALUE"""),"40 ОД")</f>
        <v>40 ОД</v>
      </c>
      <c r="AG372" t="str">
        <f ca="1">IFERROR(__xludf.DUMMYFUNCTION("""COMPUTED_VALUE"""),"41190 ПОМОШНАЯ")</f>
        <v>41190 ПОМОШНАЯ</v>
      </c>
      <c r="AH372" t="str">
        <f ca="1">IFERROR(__xludf.DUMMYFUNCTION("""COMPUTED_VALUE"""),"18.07.21 17-00")</f>
        <v>18.07.21 17-00</v>
      </c>
      <c r="AI372" s="21">
        <f ca="1">IFERROR(__xludf.DUMMYFUNCTION("""COMPUTED_VALUE"""),44420.3583449074)</f>
        <v>44420.358344907399</v>
      </c>
    </row>
    <row r="373" spans="1:35" ht="13" x14ac:dyDescent="0.15">
      <c r="A373">
        <f ca="1">IFERROR(__xludf.DUMMYFUNCTION("""COMPUTED_VALUE"""),1708)</f>
        <v>1708</v>
      </c>
      <c r="B373" t="str">
        <f ca="1">IFERROR(__xludf.DUMMYFUNCTION("""COMPUTED_VALUE"""),"ВИК")</f>
        <v>ВИК</v>
      </c>
      <c r="C373" t="str">
        <f ca="1">IFERROR(__xludf.DUMMYFUNCTION("""COMPUTED_VALUE"""),"ВИК")</f>
        <v>ВИК</v>
      </c>
      <c r="D373">
        <f ca="1">IFERROR(__xludf.DUMMYFUNCTION("""COMPUTED_VALUE"""),24383804)</f>
        <v>24383804</v>
      </c>
      <c r="E373" t="str">
        <f ca="1">IFERROR(__xludf.DUMMYFUNCTION("""COMPUTED_VALUE"""),"20 КРЫТЫЕ")</f>
        <v>20 КРЫТЫЕ</v>
      </c>
      <c r="F373">
        <f ca="1">IFERROR(__xludf.DUMMYFUNCTION("""COMPUTED_VALUE"""),42103)</f>
        <v>42103</v>
      </c>
      <c r="G373" t="str">
        <f ca="1">IFERROR(__xludf.DUMMYFUNCTION("""COMPUTED_VALUE"""),"ВАГОНЫ ЖД СВ")</f>
        <v>ВАГОНЫ ЖД СВ</v>
      </c>
      <c r="H373">
        <f ca="1">IFERROR(__xludf.DUMMYFUNCTION("""COMPUTED_VALUE"""),0)</f>
        <v>0</v>
      </c>
      <c r="I373">
        <f ca="1">IFERROR(__xludf.DUMMYFUNCTION("""COMPUTED_VALUE"""),4149)</f>
        <v>4149</v>
      </c>
      <c r="J373" t="str">
        <f ca="1">IFERROR(__xludf.DUMMYFUNCTION("""COMPUTED_VALUE"""),"3802 (49460-047-49640) БАХМУТ -")</f>
        <v>3802 (49460-047-49640) БАХМУТ -</v>
      </c>
      <c r="K373">
        <f ca="1">IFERROR(__xludf.DUMMYFUNCTION("""COMPUTED_VALUE"""),49620)</f>
        <v>49620</v>
      </c>
      <c r="L373" t="str">
        <f ca="1">IFERROR(__xludf.DUMMYFUNCTION("""COMPUTED_VALUE"""),"ДЕКОНСКАЯ")</f>
        <v>ДЕКОНСКАЯ</v>
      </c>
      <c r="M373" t="str">
        <f ca="1">IFERROR(__xludf.DUMMYFUNCTION("""COMPUTED_VALUE"""),"12.08.21 04-36")</f>
        <v>12.08.21 04-36</v>
      </c>
      <c r="N373" t="str">
        <f ca="1">IFERROR(__xludf.DUMMYFUNCTION("""COMPUTED_VALUE"""),"04 РАСФ")</f>
        <v>04 РАСФ</v>
      </c>
      <c r="O373">
        <f ca="1">IFERROR(__xludf.DUMMYFUNCTION("""COMPUTED_VALUE"""),49620)</f>
        <v>49620</v>
      </c>
      <c r="P373" t="str">
        <f ca="1">IFERROR(__xludf.DUMMYFUNCTION("""COMPUTED_VALUE"""),"ДЕКОНСКАЯ")</f>
        <v>ДЕКОНСКАЯ</v>
      </c>
      <c r="Q373">
        <f ca="1">IFERROR(__xludf.DUMMYFUNCTION("""COMPUTED_VALUE"""),32060)</f>
        <v>32060</v>
      </c>
      <c r="R373" t="str">
        <f ca="1">IFERROR(__xludf.DUMMYFUNCTION("""COMPUTED_VALUE"""),"ПОЧАЙНА")</f>
        <v>ПОЧАЙНА</v>
      </c>
      <c r="S373" t="str">
        <f ca="1">IFERROR(__xludf.DUMMYFUNCTION("""COMPUTED_VALUE"""),"05.08.21 16-20")</f>
        <v>05.08.21 16-20</v>
      </c>
      <c r="T373">
        <f ca="1">IFERROR(__xludf.DUMMYFUNCTION("""COMPUTED_VALUE"""),4456)</f>
        <v>4456</v>
      </c>
      <c r="U373" t="str">
        <f ca="1">IFERROR(__xludf.DUMMYFUNCTION("""COMPUTED_VALUE"""),"29.09.2021 ДР")</f>
        <v>29.09.2021 ДР</v>
      </c>
      <c r="AA373" t="str">
        <f ca="1">IFERROR(__xludf.DUMMYFUNCTION("""COMPUTED_VALUE"""),"11-217")</f>
        <v>11-217</v>
      </c>
      <c r="AB373" t="str">
        <f ca="1">IFERROR(__xludf.DUMMYFUNCTION("""COMPUTED_VALUE"""),"40 ОД")</f>
        <v>40 ОД</v>
      </c>
      <c r="AC373" t="str">
        <f ca="1">IFERROR(__xludf.DUMMYFUNCTION("""COMPUTED_VALUE"""),"42000 ИМ.Т.ШЕВЧЕНК")</f>
        <v>42000 ИМ.Т.ШЕВЧЕНК</v>
      </c>
      <c r="AD373" t="str">
        <f ca="1">IFERROR(__xludf.DUMMYFUNCTION("""COMPUTED_VALUE"""),"17.09.19 01-01")</f>
        <v>17.09.19 01-01</v>
      </c>
      <c r="AE373" t="str">
        <f ca="1">IFERROR(__xludf.DUMMYFUNCTION("""COMPUTED_VALUE"""),"570 ИCТEК КAЛЕНДАРНЫЙ CPOК ДEПOВCКОГО PEМOНТA")</f>
        <v>570 ИCТEК КAЛЕНДАРНЫЙ CPOК ДEПOВCКОГО PEМOНТA</v>
      </c>
      <c r="AF373" t="str">
        <f ca="1">IFERROR(__xludf.DUMMYFUNCTION("""COMPUTED_VALUE"""),"40 ОД")</f>
        <v>40 ОД</v>
      </c>
      <c r="AG373" t="str">
        <f ca="1">IFERROR(__xludf.DUMMYFUNCTION("""COMPUTED_VALUE"""),"42000 ИМ.Т.ШЕВЧЕНК")</f>
        <v>42000 ИМ.Т.ШЕВЧЕНК</v>
      </c>
      <c r="AH373" t="str">
        <f ca="1">IFERROR(__xludf.DUMMYFUNCTION("""COMPUTED_VALUE"""),"29.09.19 14-30")</f>
        <v>29.09.19 14-30</v>
      </c>
      <c r="AI373" s="21">
        <f ca="1">IFERROR(__xludf.DUMMYFUNCTION("""COMPUTED_VALUE"""),44420.3583449074)</f>
        <v>44420.358344907399</v>
      </c>
    </row>
    <row r="374" spans="1:35" ht="13" x14ac:dyDescent="0.15">
      <c r="A374">
        <f ca="1">IFERROR(__xludf.DUMMYFUNCTION("""COMPUTED_VALUE"""),1709)</f>
        <v>1709</v>
      </c>
      <c r="B374" t="str">
        <f ca="1">IFERROR(__xludf.DUMMYFUNCTION("""COMPUTED_VALUE"""),"ВИК")</f>
        <v>ВИК</v>
      </c>
      <c r="C374" t="str">
        <f ca="1">IFERROR(__xludf.DUMMYFUNCTION("""COMPUTED_VALUE"""),"ВИК")</f>
        <v>ВИК</v>
      </c>
      <c r="D374">
        <f ca="1">IFERROR(__xludf.DUMMYFUNCTION("""COMPUTED_VALUE"""),24383853)</f>
        <v>24383853</v>
      </c>
      <c r="E374" t="str">
        <f ca="1">IFERROR(__xludf.DUMMYFUNCTION("""COMPUTED_VALUE"""),"20 КРЫТЫЕ")</f>
        <v>20 КРЫТЫЕ</v>
      </c>
      <c r="F374">
        <f ca="1">IFERROR(__xludf.DUMMYFUNCTION("""COMPUTED_VALUE"""),42103)</f>
        <v>42103</v>
      </c>
      <c r="G374" t="str">
        <f ca="1">IFERROR(__xludf.DUMMYFUNCTION("""COMPUTED_VALUE"""),"ВАГОНЫ ЖД СВ")</f>
        <v>ВАГОНЫ ЖД СВ</v>
      </c>
      <c r="H374">
        <f ca="1">IFERROR(__xludf.DUMMYFUNCTION("""COMPUTED_VALUE"""),0)</f>
        <v>0</v>
      </c>
      <c r="I374">
        <f ca="1">IFERROR(__xludf.DUMMYFUNCTION("""COMPUTED_VALUE"""),4456)</f>
        <v>4456</v>
      </c>
      <c r="J374" t="str">
        <f ca="1">IFERROR(__xludf.DUMMYFUNCTION("""COMPUTED_VALUE"""),"5555 (40510-373-00100) ОДЕССА-ЗАС I -")</f>
        <v>5555 (40510-373-00100) ОДЕССА-ЗАС I -</v>
      </c>
      <c r="K374">
        <f ca="1">IFERROR(__xludf.DUMMYFUNCTION("""COMPUTED_VALUE"""),40510)</f>
        <v>40510</v>
      </c>
      <c r="L374" t="str">
        <f ca="1">IFERROR(__xludf.DUMMYFUNCTION("""COMPUTED_VALUE"""),"ОДЕССА-ЗАС I")</f>
        <v>ОДЕССА-ЗАС I</v>
      </c>
      <c r="M374" t="str">
        <f ca="1">IFERROR(__xludf.DUMMYFUNCTION("""COMPUTED_VALUE"""),"12.08.21 01-49")</f>
        <v>12.08.21 01-49</v>
      </c>
      <c r="N374" t="str">
        <f ca="1">IFERROR(__xludf.DUMMYFUNCTION("""COMPUTED_VALUE"""),"04 РАСФ")</f>
        <v>04 РАСФ</v>
      </c>
      <c r="O374">
        <f ca="1">IFERROR(__xludf.DUMMYFUNCTION("""COMPUTED_VALUE"""),40200)</f>
        <v>40200</v>
      </c>
      <c r="P374" t="str">
        <f ca="1">IFERROR(__xludf.DUMMYFUNCTION("""COMPUTED_VALUE"""),"ЧЕРНОМОРСК-П")</f>
        <v>ЧЕРНОМОРСК-П</v>
      </c>
      <c r="Q374">
        <f ca="1">IFERROR(__xludf.DUMMYFUNCTION("""COMPUTED_VALUE"""),32060)</f>
        <v>32060</v>
      </c>
      <c r="R374" t="str">
        <f ca="1">IFERROR(__xludf.DUMMYFUNCTION("""COMPUTED_VALUE"""),"ПОЧАЙНА")</f>
        <v>ПОЧАЙНА</v>
      </c>
      <c r="S374" t="str">
        <f ca="1">IFERROR(__xludf.DUMMYFUNCTION("""COMPUTED_VALUE"""),"14.07.21 01-00")</f>
        <v>14.07.21 01-00</v>
      </c>
      <c r="T374">
        <f ca="1">IFERROR(__xludf.DUMMYFUNCTION("""COMPUTED_VALUE"""),4456)</f>
        <v>4456</v>
      </c>
      <c r="U374" t="str">
        <f ca="1">IFERROR(__xludf.DUMMYFUNCTION("""COMPUTED_VALUE"""),"06.05.2022 ДР")</f>
        <v>06.05.2022 ДР</v>
      </c>
      <c r="AA374" t="str">
        <f ca="1">IFERROR(__xludf.DUMMYFUNCTION("""COMPUTED_VALUE"""),"11-217")</f>
        <v>11-217</v>
      </c>
      <c r="AB374" t="str">
        <f ca="1">IFERROR(__xludf.DUMMYFUNCTION("""COMPUTED_VALUE"""),"40 ОД")</f>
        <v>40 ОД</v>
      </c>
      <c r="AC374" t="str">
        <f ca="1">IFERROR(__xludf.DUMMYFUNCTION("""COMPUTED_VALUE"""),"40510 ОДЕССА-ЗАС I")</f>
        <v>40510 ОДЕССА-ЗАС I</v>
      </c>
      <c r="AD374" t="str">
        <f ca="1">IFERROR(__xludf.DUMMYFUNCTION("""COMPUTED_VALUE"""),"09.08.21 14-30")</f>
        <v>09.08.21 14-30</v>
      </c>
      <c r="AE374" t="str">
        <f ca="1">IFERROR(__xludf.DUMMYFUNCTION("""COMPUTED_VALUE"""),"535 OТCУТCТВИE ДВEPНOГO УПOPA")</f>
        <v>535 OТCУТCТВИE ДВEPНOГO УПOPA</v>
      </c>
      <c r="AF374" t="str">
        <f ca="1">IFERROR(__xludf.DUMMYFUNCTION("""COMPUTED_VALUE"""),"45 ПРИДН")</f>
        <v>45 ПРИДН</v>
      </c>
      <c r="AG374" t="str">
        <f ca="1">IFERROR(__xludf.DUMMYFUNCTION("""COMPUTED_VALUE"""),"45000 НИЖНЕДН-УЗЕЛ")</f>
        <v>45000 НИЖНЕДН-УЗЕЛ</v>
      </c>
      <c r="AH374" t="str">
        <f ca="1">IFERROR(__xludf.DUMMYFUNCTION("""COMPUTED_VALUE"""),"14.03.21 16-00")</f>
        <v>14.03.21 16-00</v>
      </c>
      <c r="AI374" s="21">
        <f ca="1">IFERROR(__xludf.DUMMYFUNCTION("""COMPUTED_VALUE"""),44420.3583449074)</f>
        <v>44420.358344907399</v>
      </c>
    </row>
    <row r="375" spans="1:35" ht="13" x14ac:dyDescent="0.15">
      <c r="A375">
        <f ca="1">IFERROR(__xludf.DUMMYFUNCTION("""COMPUTED_VALUE"""),1710)</f>
        <v>1710</v>
      </c>
      <c r="B375" t="str">
        <f ca="1">IFERROR(__xludf.DUMMYFUNCTION("""COMPUTED_VALUE"""),"ВИК")</f>
        <v>ВИК</v>
      </c>
      <c r="C375" t="str">
        <f ca="1">IFERROR(__xludf.DUMMYFUNCTION("""COMPUTED_VALUE"""),"ВИК")</f>
        <v>ВИК</v>
      </c>
      <c r="D375">
        <f ca="1">IFERROR(__xludf.DUMMYFUNCTION("""COMPUTED_VALUE"""),24383861)</f>
        <v>24383861</v>
      </c>
      <c r="E375" t="str">
        <f ca="1">IFERROR(__xludf.DUMMYFUNCTION("""COMPUTED_VALUE"""),"20 КРЫТЫЕ")</f>
        <v>20 КРЫТЫЕ</v>
      </c>
      <c r="F375">
        <f ca="1">IFERROR(__xludf.DUMMYFUNCTION("""COMPUTED_VALUE"""),42103)</f>
        <v>42103</v>
      </c>
      <c r="G375" t="str">
        <f ca="1">IFERROR(__xludf.DUMMYFUNCTION("""COMPUTED_VALUE"""),"ВАГОНЫ ЖД СВ")</f>
        <v>ВАГОНЫ ЖД СВ</v>
      </c>
      <c r="H375">
        <f ca="1">IFERROR(__xludf.DUMMYFUNCTION("""COMPUTED_VALUE"""),64)</f>
        <v>64</v>
      </c>
      <c r="I375">
        <f ca="1">IFERROR(__xludf.DUMMYFUNCTION("""COMPUTED_VALUE"""),4149)</f>
        <v>4149</v>
      </c>
      <c r="J375" t="str">
        <f ca="1">IFERROR(__xludf.DUMMYFUNCTION("""COMPUTED_VALUE"""),"3802 (49460-038-49640) БАХМУТ -")</f>
        <v>3802 (49460-038-49640) БАХМУТ -</v>
      </c>
      <c r="K375">
        <f ca="1">IFERROR(__xludf.DUMMYFUNCTION("""COMPUTED_VALUE"""),49620)</f>
        <v>49620</v>
      </c>
      <c r="L375" t="str">
        <f ca="1">IFERROR(__xludf.DUMMYFUNCTION("""COMPUTED_VALUE"""),"ДЕКОНСКАЯ")</f>
        <v>ДЕКОНСКАЯ</v>
      </c>
      <c r="M375" t="str">
        <f ca="1">IFERROR(__xludf.DUMMYFUNCTION("""COMPUTED_VALUE"""),"10.08.21 21-00")</f>
        <v>10.08.21 21-00</v>
      </c>
      <c r="N375" t="str">
        <f ca="1">IFERROR(__xludf.DUMMYFUNCTION("""COMPUTED_VALUE"""),"98 ОТОТ")</f>
        <v>98 ОТОТ</v>
      </c>
      <c r="O375">
        <f ca="1">IFERROR(__xludf.DUMMYFUNCTION("""COMPUTED_VALUE"""),49620)</f>
        <v>49620</v>
      </c>
      <c r="P375" t="str">
        <f ca="1">IFERROR(__xludf.DUMMYFUNCTION("""COMPUTED_VALUE"""),"ДЕКОНСКАЯ")</f>
        <v>ДЕКОНСКАЯ</v>
      </c>
      <c r="Q375">
        <f ca="1">IFERROR(__xludf.DUMMYFUNCTION("""COMPUTED_VALUE"""),40200)</f>
        <v>40200</v>
      </c>
      <c r="R375" t="str">
        <f ca="1">IFERROR(__xludf.DUMMYFUNCTION("""COMPUTED_VALUE"""),"ЧЕРНОМОРСК-П")</f>
        <v>ЧЕРНОМОРСК-П</v>
      </c>
      <c r="S375" t="str">
        <f ca="1">IFERROR(__xludf.DUMMYFUNCTION("""COMPUTED_VALUE"""),"20.07.21 16-20")</f>
        <v>20.07.21 16-20</v>
      </c>
      <c r="T375">
        <f ca="1">IFERROR(__xludf.DUMMYFUNCTION("""COMPUTED_VALUE"""),0)</f>
        <v>0</v>
      </c>
      <c r="U375" t="str">
        <f ca="1">IFERROR(__xludf.DUMMYFUNCTION("""COMPUTED_VALUE"""),"26.04.2023 ДР")</f>
        <v>26.04.2023 ДР</v>
      </c>
      <c r="AA375" t="str">
        <f ca="1">IFERROR(__xludf.DUMMYFUNCTION("""COMPUTED_VALUE"""),"11-217")</f>
        <v>11-217</v>
      </c>
      <c r="AB375" t="str">
        <f ca="1">IFERROR(__xludf.DUMMYFUNCTION("""COMPUTED_VALUE"""),"40 ОД")</f>
        <v>40 ОД</v>
      </c>
      <c r="AC375" t="str">
        <f ca="1">IFERROR(__xludf.DUMMYFUNCTION("""COMPUTED_VALUE"""),"41190 ПОМОШНАЯ")</f>
        <v>41190 ПОМОШНАЯ</v>
      </c>
      <c r="AD375" t="str">
        <f ca="1">IFERROR(__xludf.DUMMYFUNCTION("""COMPUTED_VALUE"""),"16.04.20 08-30")</f>
        <v>16.04.20 08-30</v>
      </c>
      <c r="AE375" t="str">
        <f ca="1">IFERROR(__xludf.DUMMYFUNCTION("""COMPUTED_VALUE"""),"570")</f>
        <v>570</v>
      </c>
      <c r="AF375" t="str">
        <f ca="1">IFERROR(__xludf.DUMMYFUNCTION("""COMPUTED_VALUE"""),"40 ОД")</f>
        <v>40 ОД</v>
      </c>
      <c r="AG375" t="str">
        <f ca="1">IFERROR(__xludf.DUMMYFUNCTION("""COMPUTED_VALUE"""),"41190 ПОМОШНАЯ")</f>
        <v>41190 ПОМОШНАЯ</v>
      </c>
      <c r="AH375" t="str">
        <f ca="1">IFERROR(__xludf.DUMMYFUNCTION("""COMPUTED_VALUE"""),"26.04.20 16-30")</f>
        <v>26.04.20 16-30</v>
      </c>
      <c r="AI375" s="21">
        <f ca="1">IFERROR(__xludf.DUMMYFUNCTION("""COMPUTED_VALUE"""),44420.3583449074)</f>
        <v>44420.358344907399</v>
      </c>
    </row>
    <row r="376" spans="1:35" ht="13" x14ac:dyDescent="0.15">
      <c r="A376">
        <f ca="1">IFERROR(__xludf.DUMMYFUNCTION("""COMPUTED_VALUE"""),1711)</f>
        <v>1711</v>
      </c>
      <c r="B376" t="str">
        <f ca="1">IFERROR(__xludf.DUMMYFUNCTION("""COMPUTED_VALUE"""),"ВИК")</f>
        <v>ВИК</v>
      </c>
      <c r="C376" t="str">
        <f ca="1">IFERROR(__xludf.DUMMYFUNCTION("""COMPUTED_VALUE"""),"ВИК")</f>
        <v>ВИК</v>
      </c>
      <c r="D376">
        <f ca="1">IFERROR(__xludf.DUMMYFUNCTION("""COMPUTED_VALUE"""),24383879)</f>
        <v>24383879</v>
      </c>
      <c r="E376" t="str">
        <f ca="1">IFERROR(__xludf.DUMMYFUNCTION("""COMPUTED_VALUE"""),"20 КРЫТЫЕ")</f>
        <v>20 КРЫТЫЕ</v>
      </c>
      <c r="F376">
        <f ca="1">IFERROR(__xludf.DUMMYFUNCTION("""COMPUTED_VALUE"""),42103)</f>
        <v>42103</v>
      </c>
      <c r="G376" t="str">
        <f ca="1">IFERROR(__xludf.DUMMYFUNCTION("""COMPUTED_VALUE"""),"ВАГОНЫ ЖД СВ")</f>
        <v>ВАГОНЫ ЖД СВ</v>
      </c>
      <c r="H376">
        <f ca="1">IFERROR(__xludf.DUMMYFUNCTION("""COMPUTED_VALUE"""),0)</f>
        <v>0</v>
      </c>
      <c r="I376">
        <f ca="1">IFERROR(__xludf.DUMMYFUNCTION("""COMPUTED_VALUE"""),8508)</f>
        <v>8508</v>
      </c>
      <c r="J376" t="str">
        <f ca="1">IFERROR(__xludf.DUMMYFUNCTION("""COMPUTED_VALUE"""),"3702 (40510-368-40030) ОДЕССА-ЗАС I - ОДЕССА-ПОРТ")</f>
        <v>3702 (40510-368-40030) ОДЕССА-ЗАС I - ОДЕССА-ПОРТ</v>
      </c>
      <c r="K376">
        <f ca="1">IFERROR(__xludf.DUMMYFUNCTION("""COMPUTED_VALUE"""),40030)</f>
        <v>40030</v>
      </c>
      <c r="L376" t="str">
        <f ca="1">IFERROR(__xludf.DUMMYFUNCTION("""COMPUTED_VALUE"""),"ОДЕССА-ПОРТ")</f>
        <v>ОДЕССА-ПОРТ</v>
      </c>
      <c r="M376" t="str">
        <f ca="1">IFERROR(__xludf.DUMMYFUNCTION("""COMPUTED_VALUE"""),"12.08.21 02-40")</f>
        <v>12.08.21 02-40</v>
      </c>
      <c r="N376" t="str">
        <f ca="1">IFERROR(__xludf.DUMMYFUNCTION("""COMPUTED_VALUE"""),"04 РАСФ")</f>
        <v>04 РАСФ</v>
      </c>
      <c r="O376">
        <f ca="1">IFERROR(__xludf.DUMMYFUNCTION("""COMPUTED_VALUE"""),40030)</f>
        <v>40030</v>
      </c>
      <c r="P376" t="str">
        <f ca="1">IFERROR(__xludf.DUMMYFUNCTION("""COMPUTED_VALUE"""),"ОДЕССА-ПОРТ")</f>
        <v>ОДЕССА-ПОРТ</v>
      </c>
      <c r="Q376">
        <f ca="1">IFERROR(__xludf.DUMMYFUNCTION("""COMPUTED_VALUE"""),40510)</f>
        <v>40510</v>
      </c>
      <c r="R376" t="str">
        <f ca="1">IFERROR(__xludf.DUMMYFUNCTION("""COMPUTED_VALUE"""),"ОДЕССА-ЗАС I")</f>
        <v>ОДЕССА-ЗАС I</v>
      </c>
      <c r="S376" t="str">
        <f ca="1">IFERROR(__xludf.DUMMYFUNCTION("""COMPUTED_VALUE"""),"10.08.21 20-10")</f>
        <v>10.08.21 20-10</v>
      </c>
      <c r="T376">
        <f ca="1">IFERROR(__xludf.DUMMYFUNCTION("""COMPUTED_VALUE"""),4456)</f>
        <v>4456</v>
      </c>
      <c r="U376" t="str">
        <f ca="1">IFERROR(__xludf.DUMMYFUNCTION("""COMPUTED_VALUE"""),"30.11.2021 ДР")</f>
        <v>30.11.2021 ДР</v>
      </c>
      <c r="AA376" t="str">
        <f ca="1">IFERROR(__xludf.DUMMYFUNCTION("""COMPUTED_VALUE"""),"11-217")</f>
        <v>11-217</v>
      </c>
      <c r="AB376" t="str">
        <f ca="1">IFERROR(__xludf.DUMMYFUNCTION("""COMPUTED_VALUE"""),"32 Ю-ЗАП")</f>
        <v>32 Ю-ЗАП</v>
      </c>
      <c r="AC376" t="str">
        <f ca="1">IFERROR(__xludf.DUMMYFUNCTION("""COMPUTED_VALUE"""),"34000 ШЕПЕТОВКА")</f>
        <v>34000 ШЕПЕТОВКА</v>
      </c>
      <c r="AD376" t="str">
        <f ca="1">IFERROR(__xludf.DUMMYFUNCTION("""COMPUTED_VALUE"""),"17.06.20 15-10")</f>
        <v>17.06.20 15-10</v>
      </c>
      <c r="AE376" t="str">
        <f ca="1">IFERROR(__xludf.DUMMYFUNCTION("""COMPUTED_VALUE"""),"537 НEИCПPAВНOCТЬ ЗAПOPA ДВEPИ")</f>
        <v>537 НEИCПPAВНOCТЬ ЗAПOPA ДВEPИ</v>
      </c>
      <c r="AF376" t="str">
        <f ca="1">IFERROR(__xludf.DUMMYFUNCTION("""COMPUTED_VALUE"""),"32 Ю-ЗАП")</f>
        <v>32 Ю-ЗАП</v>
      </c>
      <c r="AG376" t="str">
        <f ca="1">IFERROR(__xludf.DUMMYFUNCTION("""COMPUTED_VALUE"""),"34000 ШЕПЕТОВКА")</f>
        <v>34000 ШЕПЕТОВКА</v>
      </c>
      <c r="AH376" t="str">
        <f ca="1">IFERROR(__xludf.DUMMYFUNCTION("""COMPUTED_VALUE"""),"18.06.20 16-00")</f>
        <v>18.06.20 16-00</v>
      </c>
      <c r="AI376" s="21">
        <f ca="1">IFERROR(__xludf.DUMMYFUNCTION("""COMPUTED_VALUE"""),44420.3583449074)</f>
        <v>44420.358344907399</v>
      </c>
    </row>
    <row r="377" spans="1:35" ht="13" x14ac:dyDescent="0.15">
      <c r="A377">
        <f ca="1">IFERROR(__xludf.DUMMYFUNCTION("""COMPUTED_VALUE"""),1712)</f>
        <v>1712</v>
      </c>
      <c r="B377" t="str">
        <f ca="1">IFERROR(__xludf.DUMMYFUNCTION("""COMPUTED_VALUE"""),"ВИК")</f>
        <v>ВИК</v>
      </c>
      <c r="C377" t="str">
        <f ca="1">IFERROR(__xludf.DUMMYFUNCTION("""COMPUTED_VALUE"""),"ВИК")</f>
        <v>ВИК</v>
      </c>
      <c r="D377">
        <f ca="1">IFERROR(__xludf.DUMMYFUNCTION("""COMPUTED_VALUE"""),24383887)</f>
        <v>24383887</v>
      </c>
      <c r="E377" t="str">
        <f ca="1">IFERROR(__xludf.DUMMYFUNCTION("""COMPUTED_VALUE"""),"20 КРЫТЫЕ")</f>
        <v>20 КРЫТЫЕ</v>
      </c>
      <c r="F377">
        <f ca="1">IFERROR(__xludf.DUMMYFUNCTION("""COMPUTED_VALUE"""),42103)</f>
        <v>42103</v>
      </c>
      <c r="G377" t="str">
        <f ca="1">IFERROR(__xludf.DUMMYFUNCTION("""COMPUTED_VALUE"""),"ВАГОНЫ ЖД СВ")</f>
        <v>ВАГОНЫ ЖД СВ</v>
      </c>
      <c r="H377">
        <f ca="1">IFERROR(__xludf.DUMMYFUNCTION("""COMPUTED_VALUE"""),0)</f>
        <v>0</v>
      </c>
      <c r="I377">
        <f ca="1">IFERROR(__xludf.DUMMYFUNCTION("""COMPUTED_VALUE"""),4149)</f>
        <v>4149</v>
      </c>
      <c r="J377" t="str">
        <f ca="1">IFERROR(__xludf.DUMMYFUNCTION("""COMPUTED_VALUE"""),"3802 (49640-069-49620)  - ДЕКОНСКАЯ")</f>
        <v>3802 (49640-069-49620)  - ДЕКОНСКАЯ</v>
      </c>
      <c r="K377">
        <f ca="1">IFERROR(__xludf.DUMMYFUNCTION("""COMPUTED_VALUE"""),49620)</f>
        <v>49620</v>
      </c>
      <c r="L377" t="str">
        <f ca="1">IFERROR(__xludf.DUMMYFUNCTION("""COMPUTED_VALUE"""),"ДЕКОНСКАЯ")</f>
        <v>ДЕКОНСКАЯ</v>
      </c>
      <c r="M377" t="str">
        <f ca="1">IFERROR(__xludf.DUMMYFUNCTION("""COMPUTED_VALUE"""),"11.08.21 11-00")</f>
        <v>11.08.21 11-00</v>
      </c>
      <c r="N377" t="str">
        <f ca="1">IFERROR(__xludf.DUMMYFUNCTION("""COMPUTED_VALUE"""),"98 ОТОТ")</f>
        <v>98 ОТОТ</v>
      </c>
      <c r="O377">
        <f ca="1">IFERROR(__xludf.DUMMYFUNCTION("""COMPUTED_VALUE"""),49620)</f>
        <v>49620</v>
      </c>
      <c r="P377" t="str">
        <f ca="1">IFERROR(__xludf.DUMMYFUNCTION("""COMPUTED_VALUE"""),"ДЕКОНСКАЯ")</f>
        <v>ДЕКОНСКАЯ</v>
      </c>
      <c r="Q377">
        <f ca="1">IFERROR(__xludf.DUMMYFUNCTION("""COMPUTED_VALUE"""),37030)</f>
        <v>37030</v>
      </c>
      <c r="R377" t="str">
        <f ca="1">IFERROR(__xludf.DUMMYFUNCTION("""COMPUTED_VALUE"""),"СКНИЛОВ")</f>
        <v>СКНИЛОВ</v>
      </c>
      <c r="S377" t="str">
        <f ca="1">IFERROR(__xludf.DUMMYFUNCTION("""COMPUTED_VALUE"""),"04.08.21 14-00")</f>
        <v>04.08.21 14-00</v>
      </c>
      <c r="T377">
        <f ca="1">IFERROR(__xludf.DUMMYFUNCTION("""COMPUTED_VALUE"""),4456)</f>
        <v>4456</v>
      </c>
      <c r="U377" t="str">
        <f ca="1">IFERROR(__xludf.DUMMYFUNCTION("""COMPUTED_VALUE"""),"28.04.2022 ДР")</f>
        <v>28.04.2022 ДР</v>
      </c>
      <c r="AA377" t="str">
        <f ca="1">IFERROR(__xludf.DUMMYFUNCTION("""COMPUTED_VALUE"""),"11-217")</f>
        <v>11-217</v>
      </c>
      <c r="AB377" t="str">
        <f ca="1">IFERROR(__xludf.DUMMYFUNCTION("""COMPUTED_VALUE"""),"40 ОД")</f>
        <v>40 ОД</v>
      </c>
      <c r="AC377" t="str">
        <f ca="1">IFERROR(__xludf.DUMMYFUNCTION("""COMPUTED_VALUE"""),"40000 ОДЕССА-СОРТ")</f>
        <v>40000 ОДЕССА-СОРТ</v>
      </c>
      <c r="AD377" t="str">
        <f ca="1">IFERROR(__xludf.DUMMYFUNCTION("""COMPUTED_VALUE"""),"26.09.20 14-40")</f>
        <v>26.09.20 14-40</v>
      </c>
      <c r="AE377" t="str">
        <f ca="1">IFERROR(__xludf.DUMMYFUNCTION("""COMPUTED_VALUE"""),"537 НEИCПPAВНOCТЬ ЗAПOPA ДВEPИ")</f>
        <v>537 НEИCПPAВНOCТЬ ЗAПOPA ДВEPИ</v>
      </c>
      <c r="AF377" t="str">
        <f ca="1">IFERROR(__xludf.DUMMYFUNCTION("""COMPUTED_VALUE"""),"40 ОД")</f>
        <v>40 ОД</v>
      </c>
      <c r="AG377" t="str">
        <f ca="1">IFERROR(__xludf.DUMMYFUNCTION("""COMPUTED_VALUE"""),"40000 ОДЕССА-СОРТ")</f>
        <v>40000 ОДЕССА-СОРТ</v>
      </c>
      <c r="AH377" t="str">
        <f ca="1">IFERROR(__xludf.DUMMYFUNCTION("""COMPUTED_VALUE"""),"29.09.20 14-30")</f>
        <v>29.09.20 14-30</v>
      </c>
      <c r="AI377" s="21">
        <f ca="1">IFERROR(__xludf.DUMMYFUNCTION("""COMPUTED_VALUE"""),44420.3583449074)</f>
        <v>44420.358344907399</v>
      </c>
    </row>
    <row r="378" spans="1:35" ht="13" x14ac:dyDescent="0.15">
      <c r="A378">
        <f ca="1">IFERROR(__xludf.DUMMYFUNCTION("""COMPUTED_VALUE"""),1713)</f>
        <v>1713</v>
      </c>
      <c r="B378" t="str">
        <f ca="1">IFERROR(__xludf.DUMMYFUNCTION("""COMPUTED_VALUE"""),"ВИК")</f>
        <v>ВИК</v>
      </c>
      <c r="C378" t="str">
        <f ca="1">IFERROR(__xludf.DUMMYFUNCTION("""COMPUTED_VALUE"""),"ВИК")</f>
        <v>ВИК</v>
      </c>
      <c r="D378">
        <f ca="1">IFERROR(__xludf.DUMMYFUNCTION("""COMPUTED_VALUE"""),24383911)</f>
        <v>24383911</v>
      </c>
      <c r="E378" t="str">
        <f ca="1">IFERROR(__xludf.DUMMYFUNCTION("""COMPUTED_VALUE"""),"20 КРЫТЫЕ")</f>
        <v>20 КРЫТЫЕ</v>
      </c>
      <c r="F378">
        <f ca="1">IFERROR(__xludf.DUMMYFUNCTION("""COMPUTED_VALUE"""),42103)</f>
        <v>42103</v>
      </c>
      <c r="G378" t="str">
        <f ca="1">IFERROR(__xludf.DUMMYFUNCTION("""COMPUTED_VALUE"""),"ВАГОНЫ ЖД СВ")</f>
        <v>ВАГОНЫ ЖД СВ</v>
      </c>
      <c r="H378">
        <f ca="1">IFERROR(__xludf.DUMMYFUNCTION("""COMPUTED_VALUE"""),0)</f>
        <v>0</v>
      </c>
      <c r="I378">
        <f ca="1">IFERROR(__xludf.DUMMYFUNCTION("""COMPUTED_VALUE"""),4149)</f>
        <v>4149</v>
      </c>
      <c r="J378" t="str">
        <f ca="1">IFERROR(__xludf.DUMMYFUNCTION("""COMPUTED_VALUE"""),"2831 (44020-300-49000) ОСНОВА - ЛИМАН")</f>
        <v>2831 (44020-300-49000) ОСНОВА - ЛИМАН</v>
      </c>
      <c r="K378">
        <f ca="1">IFERROR(__xludf.DUMMYFUNCTION("""COMPUTED_VALUE"""),49005)</f>
        <v>49005</v>
      </c>
      <c r="L378" t="str">
        <f ca="1">IFERROR(__xludf.DUMMYFUNCTION("""COMPUTED_VALUE"""),"ФОРПОСТНАЯ")</f>
        <v>ФОРПОСТНАЯ</v>
      </c>
      <c r="M378" t="str">
        <f ca="1">IFERROR(__xludf.DUMMYFUNCTION("""COMPUTED_VALUE"""),"12.08.21 08-19")</f>
        <v>12.08.21 08-19</v>
      </c>
      <c r="N378" t="str">
        <f ca="1">IFERROR(__xludf.DUMMYFUNCTION("""COMPUTED_VALUE"""),"03 ПРОС")</f>
        <v>03 ПРОС</v>
      </c>
      <c r="O378">
        <f ca="1">IFERROR(__xludf.DUMMYFUNCTION("""COMPUTED_VALUE"""),49620)</f>
        <v>49620</v>
      </c>
      <c r="P378" t="str">
        <f ca="1">IFERROR(__xludf.DUMMYFUNCTION("""COMPUTED_VALUE"""),"ДЕКОНСКАЯ")</f>
        <v>ДЕКОНСКАЯ</v>
      </c>
      <c r="Q378">
        <f ca="1">IFERROR(__xludf.DUMMYFUNCTION("""COMPUTED_VALUE"""),32040)</f>
        <v>32040</v>
      </c>
      <c r="R378" t="str">
        <f ca="1">IFERROR(__xludf.DUMMYFUNCTION("""COMPUTED_VALUE"""),"ГРУШКИ")</f>
        <v>ГРУШКИ</v>
      </c>
      <c r="S378" t="str">
        <f ca="1">IFERROR(__xludf.DUMMYFUNCTION("""COMPUTED_VALUE"""),"06.08.21 08-00")</f>
        <v>06.08.21 08-00</v>
      </c>
      <c r="T378">
        <f ca="1">IFERROR(__xludf.DUMMYFUNCTION("""COMPUTED_VALUE"""),4456)</f>
        <v>4456</v>
      </c>
      <c r="U378" t="str">
        <f ca="1">IFERROR(__xludf.DUMMYFUNCTION("""COMPUTED_VALUE"""),"22.03.2022 ДР")</f>
        <v>22.03.2022 ДР</v>
      </c>
      <c r="AA378" t="str">
        <f ca="1">IFERROR(__xludf.DUMMYFUNCTION("""COMPUTED_VALUE"""),"11-217")</f>
        <v>11-217</v>
      </c>
      <c r="AB378" t="str">
        <f ca="1">IFERROR(__xludf.DUMMYFUNCTION("""COMPUTED_VALUE"""),"40 ОД")</f>
        <v>40 ОД</v>
      </c>
      <c r="AC378" t="str">
        <f ca="1">IFERROR(__xludf.DUMMYFUNCTION("""COMPUTED_VALUE"""),"41000 ЗНАМЕНКА")</f>
        <v>41000 ЗНАМЕНКА</v>
      </c>
      <c r="AD378" t="str">
        <f ca="1">IFERROR(__xludf.DUMMYFUNCTION("""COMPUTED_VALUE"""),"12.03.19 05-00")</f>
        <v>12.03.19 05-00</v>
      </c>
      <c r="AE378" t="str">
        <f ca="1">IFERROR(__xludf.DUMMYFUNCTION("""COMPUTED_VALUE"""),"571 ИCТEК КAЛЕНДАРНЫЙ CPOК КAПИТAЛЬНОГО PEМOНТA")</f>
        <v>571 ИCТEК КAЛЕНДАРНЫЙ CPOК КAПИТAЛЬНОГО PEМOНТA</v>
      </c>
      <c r="AF378" t="str">
        <f ca="1">IFERROR(__xludf.DUMMYFUNCTION("""COMPUTED_VALUE"""),"40 ОД")</f>
        <v>40 ОД</v>
      </c>
      <c r="AG378" t="str">
        <f ca="1">IFERROR(__xludf.DUMMYFUNCTION("""COMPUTED_VALUE"""),"41000 ЗНАМЕНКА")</f>
        <v>41000 ЗНАМЕНКА</v>
      </c>
      <c r="AH378" t="str">
        <f ca="1">IFERROR(__xludf.DUMMYFUNCTION("""COMPUTED_VALUE"""),"22.03.19 14-30")</f>
        <v>22.03.19 14-30</v>
      </c>
      <c r="AI378" s="21">
        <f ca="1">IFERROR(__xludf.DUMMYFUNCTION("""COMPUTED_VALUE"""),44420.3583449074)</f>
        <v>44420.358344907399</v>
      </c>
    </row>
    <row r="379" spans="1:35" ht="13" x14ac:dyDescent="0.15">
      <c r="A379">
        <f ca="1">IFERROR(__xludf.DUMMYFUNCTION("""COMPUTED_VALUE"""),1714)</f>
        <v>1714</v>
      </c>
      <c r="B379" t="str">
        <f ca="1">IFERROR(__xludf.DUMMYFUNCTION("""COMPUTED_VALUE"""),"ВИК")</f>
        <v>ВИК</v>
      </c>
      <c r="C379" t="str">
        <f ca="1">IFERROR(__xludf.DUMMYFUNCTION("""COMPUTED_VALUE"""),"ВИК")</f>
        <v>ВИК</v>
      </c>
      <c r="D379">
        <f ca="1">IFERROR(__xludf.DUMMYFUNCTION("""COMPUTED_VALUE"""),24383929)</f>
        <v>24383929</v>
      </c>
      <c r="E379" t="str">
        <f ca="1">IFERROR(__xludf.DUMMYFUNCTION("""COMPUTED_VALUE"""),"20 КРЫТЫЕ")</f>
        <v>20 КРЫТЫЕ</v>
      </c>
      <c r="F379">
        <f ca="1">IFERROR(__xludf.DUMMYFUNCTION("""COMPUTED_VALUE"""),42103)</f>
        <v>42103</v>
      </c>
      <c r="G379" t="str">
        <f ca="1">IFERROR(__xludf.DUMMYFUNCTION("""COMPUTED_VALUE"""),"ВАГОНЫ ЖД СВ")</f>
        <v>ВАГОНЫ ЖД СВ</v>
      </c>
      <c r="H379">
        <f ca="1">IFERROR(__xludf.DUMMYFUNCTION("""COMPUTED_VALUE"""),0)</f>
        <v>0</v>
      </c>
      <c r="I379">
        <f ca="1">IFERROR(__xludf.DUMMYFUNCTION("""COMPUTED_VALUE"""),4026)</f>
        <v>4026</v>
      </c>
      <c r="J379" t="str">
        <f ca="1">IFERROR(__xludf.DUMMYFUNCTION("""COMPUTED_VALUE"""),"3514 (48620-079-48630) ВОЛНОВАХА - ВЕЛИКО-АНАД")</f>
        <v>3514 (48620-079-48630) ВОЛНОВАХА - ВЕЛИКО-АНАД</v>
      </c>
      <c r="K379">
        <f ca="1">IFERROR(__xludf.DUMMYFUNCTION("""COMPUTED_VALUE"""),48630)</f>
        <v>48630</v>
      </c>
      <c r="L379" t="str">
        <f ca="1">IFERROR(__xludf.DUMMYFUNCTION("""COMPUTED_VALUE"""),"ВЕЛИКО-АНАД")</f>
        <v>ВЕЛИКО-АНАД</v>
      </c>
      <c r="M379" t="str">
        <f ca="1">IFERROR(__xludf.DUMMYFUNCTION("""COMPUTED_VALUE"""),"07.08.21 11-30")</f>
        <v>07.08.21 11-30</v>
      </c>
      <c r="N379" t="str">
        <f ca="1">IFERROR(__xludf.DUMMYFUNCTION("""COMPUTED_VALUE"""),"98 ОТОТ")</f>
        <v>98 ОТОТ</v>
      </c>
      <c r="O379">
        <f ca="1">IFERROR(__xludf.DUMMYFUNCTION("""COMPUTED_VALUE"""),48630)</f>
        <v>48630</v>
      </c>
      <c r="P379" t="str">
        <f ca="1">IFERROR(__xludf.DUMMYFUNCTION("""COMPUTED_VALUE"""),"ВЕЛИКО-АНАД")</f>
        <v>ВЕЛИКО-АНАД</v>
      </c>
      <c r="Q379">
        <f ca="1">IFERROR(__xludf.DUMMYFUNCTION("""COMPUTED_VALUE"""),35780)</f>
        <v>35780</v>
      </c>
      <c r="R379" t="str">
        <f ca="1">IFERROR(__xludf.DUMMYFUNCTION("""COMPUTED_VALUE"""),"ЛУЦК")</f>
        <v>ЛУЦК</v>
      </c>
      <c r="S379" t="str">
        <f ca="1">IFERROR(__xludf.DUMMYFUNCTION("""COMPUTED_VALUE"""),"24.07.21 19-30")</f>
        <v>24.07.21 19-30</v>
      </c>
      <c r="T379">
        <f ca="1">IFERROR(__xludf.DUMMYFUNCTION("""COMPUTED_VALUE"""),4456)</f>
        <v>4456</v>
      </c>
      <c r="U379" t="str">
        <f ca="1">IFERROR(__xludf.DUMMYFUNCTION("""COMPUTED_VALUE"""),"24.09.2021 ДР")</f>
        <v>24.09.2021 ДР</v>
      </c>
      <c r="AA379" t="str">
        <f ca="1">IFERROR(__xludf.DUMMYFUNCTION("""COMPUTED_VALUE"""),"11-217")</f>
        <v>11-217</v>
      </c>
      <c r="AB379" t="str">
        <f ca="1">IFERROR(__xludf.DUMMYFUNCTION("""COMPUTED_VALUE"""),"35 ЛЬВ")</f>
        <v>35 ЛЬВ</v>
      </c>
      <c r="AC379" t="str">
        <f ca="1">IFERROR(__xludf.DUMMYFUNCTION("""COMPUTED_VALUE"""),"35250 ИЗОВ")</f>
        <v>35250 ИЗОВ</v>
      </c>
      <c r="AD379" t="str">
        <f ca="1">IFERROR(__xludf.DUMMYFUNCTION("""COMPUTED_VALUE"""),"20.08.20 22-41")</f>
        <v>20.08.20 22-41</v>
      </c>
      <c r="AE379" t="str">
        <f ca="1">IFERROR(__xludf.DUMMYFUNCTION("""COMPUTED_VALUE"""),"109 OCТPOКOНEЧНЫЙ НAКAТ ГPEБНЯ")</f>
        <v>109 OCТPOКOНEЧНЫЙ НAКAТ ГPEБНЯ</v>
      </c>
      <c r="AF379" t="str">
        <f ca="1">IFERROR(__xludf.DUMMYFUNCTION("""COMPUTED_VALUE"""),"35 ЛЬВ")</f>
        <v>35 ЛЬВ</v>
      </c>
      <c r="AG379" t="str">
        <f ca="1">IFERROR(__xludf.DUMMYFUNCTION("""COMPUTED_VALUE"""),"35250 ИЗОВ")</f>
        <v>35250 ИЗОВ</v>
      </c>
      <c r="AH379" t="str">
        <f ca="1">IFERROR(__xludf.DUMMYFUNCTION("""COMPUTED_VALUE"""),"21.08.20 12-00")</f>
        <v>21.08.20 12-00</v>
      </c>
      <c r="AI379" s="21">
        <f ca="1">IFERROR(__xludf.DUMMYFUNCTION("""COMPUTED_VALUE"""),44420.3583449074)</f>
        <v>44420.358344907399</v>
      </c>
    </row>
    <row r="380" spans="1:35" ht="13" x14ac:dyDescent="0.15">
      <c r="A380">
        <f ca="1">IFERROR(__xludf.DUMMYFUNCTION("""COMPUTED_VALUE"""),1715)</f>
        <v>1715</v>
      </c>
      <c r="B380" t="str">
        <f ca="1">IFERROR(__xludf.DUMMYFUNCTION("""COMPUTED_VALUE"""),"ВИК")</f>
        <v>ВИК</v>
      </c>
      <c r="C380" t="str">
        <f ca="1">IFERROR(__xludf.DUMMYFUNCTION("""COMPUTED_VALUE"""),"ВИК")</f>
        <v>ВИК</v>
      </c>
      <c r="D380">
        <f ca="1">IFERROR(__xludf.DUMMYFUNCTION("""COMPUTED_VALUE"""),24383986)</f>
        <v>24383986</v>
      </c>
      <c r="E380" t="str">
        <f ca="1">IFERROR(__xludf.DUMMYFUNCTION("""COMPUTED_VALUE"""),"20 КРЫТЫЕ")</f>
        <v>20 КРЫТЫЕ</v>
      </c>
      <c r="F380">
        <f ca="1">IFERROR(__xludf.DUMMYFUNCTION("""COMPUTED_VALUE"""),23304)</f>
        <v>23304</v>
      </c>
      <c r="G380" t="str">
        <f ca="1">IFERROR(__xludf.DUMMYFUNCTION("""COMPUTED_VALUE"""),"ГИПС ПР")</f>
        <v>ГИПС ПР</v>
      </c>
      <c r="H380">
        <f ca="1">IFERROR(__xludf.DUMMYFUNCTION("""COMPUTED_VALUE"""),68)</f>
        <v>68</v>
      </c>
      <c r="I380">
        <f ca="1">IFERROR(__xludf.DUMMYFUNCTION("""COMPUTED_VALUE"""),3817)</f>
        <v>3817</v>
      </c>
      <c r="J380" t="str">
        <f ca="1">IFERROR(__xludf.DUMMYFUNCTION("""COMPUTED_VALUE"""),"4831 (49640-037-49460)  - БАХМУТ")</f>
        <v>4831 (49640-037-49460)  - БАХМУТ</v>
      </c>
      <c r="K380">
        <f ca="1">IFERROR(__xludf.DUMMYFUNCTION("""COMPUTED_VALUE"""),49460)</f>
        <v>49460</v>
      </c>
      <c r="L380" t="str">
        <f ca="1">IFERROR(__xludf.DUMMYFUNCTION("""COMPUTED_VALUE"""),"БАХМУТ")</f>
        <v>БАХМУТ</v>
      </c>
      <c r="M380" t="str">
        <f ca="1">IFERROR(__xludf.DUMMYFUNCTION("""COMPUTED_VALUE"""),"12.08.21 07-00")</f>
        <v>12.08.21 07-00</v>
      </c>
      <c r="N380" t="str">
        <f ca="1">IFERROR(__xludf.DUMMYFUNCTION("""COMPUTED_VALUE"""),"04 РАСФ")</f>
        <v>04 РАСФ</v>
      </c>
      <c r="O380">
        <f ca="1">IFERROR(__xludf.DUMMYFUNCTION("""COMPUTED_VALUE"""),40510)</f>
        <v>40510</v>
      </c>
      <c r="P380" t="str">
        <f ca="1">IFERROR(__xludf.DUMMYFUNCTION("""COMPUTED_VALUE"""),"ОДЕССА-ЗАС I")</f>
        <v>ОДЕССА-ЗАС I</v>
      </c>
      <c r="Q380">
        <f ca="1">IFERROR(__xludf.DUMMYFUNCTION("""COMPUTED_VALUE"""),49620)</f>
        <v>49620</v>
      </c>
      <c r="R380" t="str">
        <f ca="1">IFERROR(__xludf.DUMMYFUNCTION("""COMPUTED_VALUE"""),"ДЕКОНСКАЯ")</f>
        <v>ДЕКОНСКАЯ</v>
      </c>
      <c r="S380" t="str">
        <f ca="1">IFERROR(__xludf.DUMMYFUNCTION("""COMPUTED_VALUE"""),"11.08.21 09-30")</f>
        <v>11.08.21 09-30</v>
      </c>
      <c r="T380">
        <f ca="1">IFERROR(__xludf.DUMMYFUNCTION("""COMPUTED_VALUE"""),4149)</f>
        <v>4149</v>
      </c>
      <c r="U380" t="str">
        <f ca="1">IFERROR(__xludf.DUMMYFUNCTION("""COMPUTED_VALUE"""),"07.11.2022 ДР")</f>
        <v>07.11.2022 ДР</v>
      </c>
      <c r="AA380" t="str">
        <f ca="1">IFERROR(__xludf.DUMMYFUNCTION("""COMPUTED_VALUE"""),"11-217")</f>
        <v>11-217</v>
      </c>
      <c r="AB380" t="str">
        <f ca="1">IFERROR(__xludf.DUMMYFUNCTION("""COMPUTED_VALUE"""),"40 ОД")</f>
        <v>40 ОД</v>
      </c>
      <c r="AC380" t="str">
        <f ca="1">IFERROR(__xludf.DUMMYFUNCTION("""COMPUTED_VALUE"""),"41190 ПОМОШНАЯ")</f>
        <v>41190 ПОМОШНАЯ</v>
      </c>
      <c r="AD380" t="str">
        <f ca="1">IFERROR(__xludf.DUMMYFUNCTION("""COMPUTED_VALUE"""),"06.11.20 09-00")</f>
        <v>06.11.20 09-00</v>
      </c>
      <c r="AE380" t="str">
        <f ca="1">IFERROR(__xludf.DUMMYFUNCTION("""COMPUTED_VALUE"""),"570 ИCТEК КAЛЕНДАРНЫЙ CPOК ДEПOВCКОГО PEМOНТA")</f>
        <v>570 ИCТEК КAЛЕНДАРНЫЙ CPOК ДEПOВCКОГО PEМOНТA</v>
      </c>
      <c r="AF380" t="str">
        <f ca="1">IFERROR(__xludf.DUMMYFUNCTION("""COMPUTED_VALUE"""),"40 ОД")</f>
        <v>40 ОД</v>
      </c>
      <c r="AG380" t="str">
        <f ca="1">IFERROR(__xludf.DUMMYFUNCTION("""COMPUTED_VALUE"""),"41190 ПОМОШНАЯ")</f>
        <v>41190 ПОМОШНАЯ</v>
      </c>
      <c r="AH380" t="str">
        <f ca="1">IFERROR(__xludf.DUMMYFUNCTION("""COMPUTED_VALUE"""),"07.11.20 17-00")</f>
        <v>07.11.20 17-00</v>
      </c>
      <c r="AI380" s="21">
        <f ca="1">IFERROR(__xludf.DUMMYFUNCTION("""COMPUTED_VALUE"""),44420.3583449074)</f>
        <v>44420.358344907399</v>
      </c>
    </row>
    <row r="381" spans="1:35" ht="13" x14ac:dyDescent="0.15">
      <c r="A381">
        <f ca="1">IFERROR(__xludf.DUMMYFUNCTION("""COMPUTED_VALUE"""),1716)</f>
        <v>1716</v>
      </c>
      <c r="B381" t="str">
        <f ca="1">IFERROR(__xludf.DUMMYFUNCTION("""COMPUTED_VALUE"""),"ВИК")</f>
        <v>ВИК</v>
      </c>
      <c r="C381" t="str">
        <f ca="1">IFERROR(__xludf.DUMMYFUNCTION("""COMPUTED_VALUE"""),"ВИК")</f>
        <v>ВИК</v>
      </c>
      <c r="D381">
        <f ca="1">IFERROR(__xludf.DUMMYFUNCTION("""COMPUTED_VALUE"""),24384000)</f>
        <v>24384000</v>
      </c>
      <c r="E381" t="str">
        <f ca="1">IFERROR(__xludf.DUMMYFUNCTION("""COMPUTED_VALUE"""),"20 КРЫТЫЕ")</f>
        <v>20 КРЫТЫЕ</v>
      </c>
      <c r="F381">
        <f ca="1">IFERROR(__xludf.DUMMYFUNCTION("""COMPUTED_VALUE"""),23304)</f>
        <v>23304</v>
      </c>
      <c r="G381" t="str">
        <f ca="1">IFERROR(__xludf.DUMMYFUNCTION("""COMPUTED_VALUE"""),"ГИПС ПР")</f>
        <v>ГИПС ПР</v>
      </c>
      <c r="H381">
        <f ca="1">IFERROR(__xludf.DUMMYFUNCTION("""COMPUTED_VALUE"""),66)</f>
        <v>66</v>
      </c>
      <c r="I381">
        <f ca="1">IFERROR(__xludf.DUMMYFUNCTION("""COMPUTED_VALUE"""),1222)</f>
        <v>1222</v>
      </c>
      <c r="J381" t="str">
        <f ca="1">IFERROR(__xludf.DUMMYFUNCTION("""COMPUTED_VALUE"""),"2001 (41000-558-34270) ЗНАМЕНКА - КАЗАТИН I")</f>
        <v>2001 (41000-558-34270) ЗНАМЕНКА - КАЗАТИН I</v>
      </c>
      <c r="K381">
        <f ca="1">IFERROR(__xludf.DUMMYFUNCTION("""COMPUTED_VALUE"""),41000)</f>
        <v>41000</v>
      </c>
      <c r="L381" t="str">
        <f ca="1">IFERROR(__xludf.DUMMYFUNCTION("""COMPUTED_VALUE"""),"ЗНАМЕНКА")</f>
        <v>ЗНАМЕНКА</v>
      </c>
      <c r="M381" t="str">
        <f ca="1">IFERROR(__xludf.DUMMYFUNCTION("""COMPUTED_VALUE"""),"12.08.21 07-00")</f>
        <v>12.08.21 07-00</v>
      </c>
      <c r="N381" t="str">
        <f ca="1">IFERROR(__xludf.DUMMYFUNCTION("""COMPUTED_VALUE"""),"05 ФОРМ")</f>
        <v>05 ФОРМ</v>
      </c>
      <c r="O381">
        <f ca="1">IFERROR(__xludf.DUMMYFUNCTION("""COMPUTED_VALUE"""),35660)</f>
        <v>35660</v>
      </c>
      <c r="P381" t="str">
        <f ca="1">IFERROR(__xludf.DUMMYFUNCTION("""COMPUTED_VALUE"""),"РОВНО")</f>
        <v>РОВНО</v>
      </c>
      <c r="Q381">
        <f ca="1">IFERROR(__xludf.DUMMYFUNCTION("""COMPUTED_VALUE"""),49620)</f>
        <v>49620</v>
      </c>
      <c r="R381" t="str">
        <f ca="1">IFERROR(__xludf.DUMMYFUNCTION("""COMPUTED_VALUE"""),"ДЕКОНСКАЯ")</f>
        <v>ДЕКОНСКАЯ</v>
      </c>
      <c r="S381" t="str">
        <f ca="1">IFERROR(__xludf.DUMMYFUNCTION("""COMPUTED_VALUE"""),"09.08.21 11-40")</f>
        <v>09.08.21 11-40</v>
      </c>
      <c r="T381">
        <f ca="1">IFERROR(__xludf.DUMMYFUNCTION("""COMPUTED_VALUE"""),4149)</f>
        <v>4149</v>
      </c>
      <c r="U381" t="str">
        <f ca="1">IFERROR(__xludf.DUMMYFUNCTION("""COMPUTED_VALUE"""),"29.03.2022 ДР")</f>
        <v>29.03.2022 ДР</v>
      </c>
      <c r="AA381" t="str">
        <f ca="1">IFERROR(__xludf.DUMMYFUNCTION("""COMPUTED_VALUE"""),"11-217")</f>
        <v>11-217</v>
      </c>
      <c r="AB381" t="str">
        <f ca="1">IFERROR(__xludf.DUMMYFUNCTION("""COMPUTED_VALUE"""),"40 ОД")</f>
        <v>40 ОД</v>
      </c>
      <c r="AC381" t="str">
        <f ca="1">IFERROR(__xludf.DUMMYFUNCTION("""COMPUTED_VALUE"""),"41190 ПОМОШНАЯ")</f>
        <v>41190 ПОМОШНАЯ</v>
      </c>
      <c r="AD381" t="str">
        <f ca="1">IFERROR(__xludf.DUMMYFUNCTION("""COMPUTED_VALUE"""),"23.03.19 14-00")</f>
        <v>23.03.19 14-00</v>
      </c>
      <c r="AE381" t="str">
        <f ca="1">IFERROR(__xludf.DUMMYFUNCTION("""COMPUTED_VALUE"""),"571 ИCТEК КAЛЕНДАРНЫЙ CPOК КAПИТAЛЬНОГО PEМOНТA")</f>
        <v>571 ИCТEК КAЛЕНДАРНЫЙ CPOК КAПИТAЛЬНОГО PEМOНТA</v>
      </c>
      <c r="AF381" t="str">
        <f ca="1">IFERROR(__xludf.DUMMYFUNCTION("""COMPUTED_VALUE"""),"40 ОД")</f>
        <v>40 ОД</v>
      </c>
      <c r="AG381" t="str">
        <f ca="1">IFERROR(__xludf.DUMMYFUNCTION("""COMPUTED_VALUE"""),"41190 ПОМОШНАЯ")</f>
        <v>41190 ПОМОШНАЯ</v>
      </c>
      <c r="AH381" t="str">
        <f ca="1">IFERROR(__xludf.DUMMYFUNCTION("""COMPUTED_VALUE"""),"29.03.19 14-50")</f>
        <v>29.03.19 14-50</v>
      </c>
      <c r="AI381" s="21">
        <f ca="1">IFERROR(__xludf.DUMMYFUNCTION("""COMPUTED_VALUE"""),44420.3583449074)</f>
        <v>44420.358344907399</v>
      </c>
    </row>
    <row r="382" spans="1:35" ht="13" x14ac:dyDescent="0.15">
      <c r="A382">
        <f ca="1">IFERROR(__xludf.DUMMYFUNCTION("""COMPUTED_VALUE"""),1717)</f>
        <v>1717</v>
      </c>
      <c r="B382" t="str">
        <f ca="1">IFERROR(__xludf.DUMMYFUNCTION("""COMPUTED_VALUE"""),"ВИК")</f>
        <v>ВИК</v>
      </c>
      <c r="C382" t="str">
        <f ca="1">IFERROR(__xludf.DUMMYFUNCTION("""COMPUTED_VALUE"""),"ВИК")</f>
        <v>ВИК</v>
      </c>
      <c r="D382">
        <f ca="1">IFERROR(__xludf.DUMMYFUNCTION("""COMPUTED_VALUE"""),24384026)</f>
        <v>24384026</v>
      </c>
      <c r="E382" t="str">
        <f ca="1">IFERROR(__xludf.DUMMYFUNCTION("""COMPUTED_VALUE"""),"20 КРЫТЫЕ")</f>
        <v>20 КРЫТЫЕ</v>
      </c>
      <c r="F382">
        <f ca="1">IFERROR(__xludf.DUMMYFUNCTION("""COMPUTED_VALUE"""),23304)</f>
        <v>23304</v>
      </c>
      <c r="G382" t="str">
        <f ca="1">IFERROR(__xludf.DUMMYFUNCTION("""COMPUTED_VALUE"""),"ГИПС ПР")</f>
        <v>ГИПС ПР</v>
      </c>
      <c r="H382">
        <f ca="1">IFERROR(__xludf.DUMMYFUNCTION("""COMPUTED_VALUE"""),67)</f>
        <v>67</v>
      </c>
      <c r="I382">
        <f ca="1">IFERROR(__xludf.DUMMYFUNCTION("""COMPUTED_VALUE"""),3314)</f>
        <v>3314</v>
      </c>
      <c r="J382" t="str">
        <f ca="1">IFERROR(__xludf.DUMMYFUNCTION("""COMPUTED_VALUE"""),"2723 (44020-120-32000) ОСНОВА - ДАРНИЦА")</f>
        <v>2723 (44020-120-32000) ОСНОВА - ДАРНИЦА</v>
      </c>
      <c r="K382">
        <f ca="1">IFERROR(__xludf.DUMMYFUNCTION("""COMPUTED_VALUE"""),32000)</f>
        <v>32000</v>
      </c>
      <c r="L382" t="str">
        <f ca="1">IFERROR(__xludf.DUMMYFUNCTION("""COMPUTED_VALUE"""),"ДАРНИЦА")</f>
        <v>ДАРНИЦА</v>
      </c>
      <c r="M382" t="str">
        <f ca="1">IFERROR(__xludf.DUMMYFUNCTION("""COMPUTED_VALUE"""),"12.08.21 05-01")</f>
        <v>12.08.21 05-01</v>
      </c>
      <c r="N382" t="str">
        <f ca="1">IFERROR(__xludf.DUMMYFUNCTION("""COMPUTED_VALUE"""),"04 РАСФ")</f>
        <v>04 РАСФ</v>
      </c>
      <c r="O382">
        <f ca="1">IFERROR(__xludf.DUMMYFUNCTION("""COMPUTED_VALUE"""),32040)</f>
        <v>32040</v>
      </c>
      <c r="P382" t="str">
        <f ca="1">IFERROR(__xludf.DUMMYFUNCTION("""COMPUTED_VALUE"""),"ГРУШКИ")</f>
        <v>ГРУШКИ</v>
      </c>
      <c r="Q382">
        <f ca="1">IFERROR(__xludf.DUMMYFUNCTION("""COMPUTED_VALUE"""),49620)</f>
        <v>49620</v>
      </c>
      <c r="R382" t="str">
        <f ca="1">IFERROR(__xludf.DUMMYFUNCTION("""COMPUTED_VALUE"""),"ДЕКОНСКАЯ")</f>
        <v>ДЕКОНСКАЯ</v>
      </c>
      <c r="S382" t="str">
        <f ca="1">IFERROR(__xludf.DUMMYFUNCTION("""COMPUTED_VALUE"""),"07.08.21 21-30")</f>
        <v>07.08.21 21-30</v>
      </c>
      <c r="T382">
        <f ca="1">IFERROR(__xludf.DUMMYFUNCTION("""COMPUTED_VALUE"""),4149)</f>
        <v>4149</v>
      </c>
      <c r="U382" t="str">
        <f ca="1">IFERROR(__xludf.DUMMYFUNCTION("""COMPUTED_VALUE"""),"29.04.2022 ДР")</f>
        <v>29.04.2022 ДР</v>
      </c>
      <c r="AA382" t="str">
        <f ca="1">IFERROR(__xludf.DUMMYFUNCTION("""COMPUTED_VALUE"""),"11-217")</f>
        <v>11-217</v>
      </c>
      <c r="AB382" t="str">
        <f ca="1">IFERROR(__xludf.DUMMYFUNCTION("""COMPUTED_VALUE"""),"40 ОД")</f>
        <v>40 ОД</v>
      </c>
      <c r="AC382" t="str">
        <f ca="1">IFERROR(__xludf.DUMMYFUNCTION("""COMPUTED_VALUE"""),"41190 ПОМОШНАЯ")</f>
        <v>41190 ПОМОШНАЯ</v>
      </c>
      <c r="AD382" t="str">
        <f ca="1">IFERROR(__xludf.DUMMYFUNCTION("""COMPUTED_VALUE"""),"04.04.19 10-00")</f>
        <v>04.04.19 10-00</v>
      </c>
      <c r="AE382" t="str">
        <f ca="1">IFERROR(__xludf.DUMMYFUNCTION("""COMPUTED_VALUE"""),"571 ИCТEК КAЛЕНДАРНЫЙ CPOК КAПИТAЛЬНОГО PEМOНТA")</f>
        <v>571 ИCТEК КAЛЕНДАРНЫЙ CPOК КAПИТAЛЬНОГО PEМOНТA</v>
      </c>
      <c r="AF382" t="str">
        <f ca="1">IFERROR(__xludf.DUMMYFUNCTION("""COMPUTED_VALUE"""),"40 ОД")</f>
        <v>40 ОД</v>
      </c>
      <c r="AG382" t="str">
        <f ca="1">IFERROR(__xludf.DUMMYFUNCTION("""COMPUTED_VALUE"""),"41190 ПОМОШНАЯ")</f>
        <v>41190 ПОМОШНАЯ</v>
      </c>
      <c r="AH382" t="str">
        <f ca="1">IFERROR(__xludf.DUMMYFUNCTION("""COMPUTED_VALUE"""),"29.04.19 16-00")</f>
        <v>29.04.19 16-00</v>
      </c>
      <c r="AI382" s="21">
        <f ca="1">IFERROR(__xludf.DUMMYFUNCTION("""COMPUTED_VALUE"""),44420.3583449074)</f>
        <v>44420.358344907399</v>
      </c>
    </row>
    <row r="383" spans="1:35" ht="13" x14ac:dyDescent="0.15">
      <c r="A383">
        <f ca="1">IFERROR(__xludf.DUMMYFUNCTION("""COMPUTED_VALUE"""),1718)</f>
        <v>1718</v>
      </c>
      <c r="B383" t="str">
        <f ca="1">IFERROR(__xludf.DUMMYFUNCTION("""COMPUTED_VALUE"""),"ВИК")</f>
        <v>ВИК</v>
      </c>
      <c r="C383" t="str">
        <f ca="1">IFERROR(__xludf.DUMMYFUNCTION("""COMPUTED_VALUE"""),"ВИК")</f>
        <v>ВИК</v>
      </c>
      <c r="D383">
        <f ca="1">IFERROR(__xludf.DUMMYFUNCTION("""COMPUTED_VALUE"""),24384034)</f>
        <v>24384034</v>
      </c>
      <c r="E383" t="str">
        <f ca="1">IFERROR(__xludf.DUMMYFUNCTION("""COMPUTED_VALUE"""),"20 КРЫТЫЕ")</f>
        <v>20 КРЫТЫЕ</v>
      </c>
      <c r="F383">
        <f ca="1">IFERROR(__xludf.DUMMYFUNCTION("""COMPUTED_VALUE"""),23304)</f>
        <v>23304</v>
      </c>
      <c r="G383" t="str">
        <f ca="1">IFERROR(__xludf.DUMMYFUNCTION("""COMPUTED_VALUE"""),"ГИПС ПР")</f>
        <v>ГИПС ПР</v>
      </c>
      <c r="H383">
        <f ca="1">IFERROR(__xludf.DUMMYFUNCTION("""COMPUTED_VALUE"""),68)</f>
        <v>68</v>
      </c>
      <c r="I383">
        <f ca="1">IFERROR(__xludf.DUMMYFUNCTION("""COMPUTED_VALUE"""),2567)</f>
        <v>2567</v>
      </c>
      <c r="J383" t="str">
        <f ca="1">IFERROR(__xludf.DUMMYFUNCTION("""COMPUTED_VALUE"""),"2111 (40680-035-40570) ПОДОЛЬСК - РАЗД-СОРТИРО")</f>
        <v>2111 (40680-035-40570) ПОДОЛЬСК - РАЗД-СОРТИРО</v>
      </c>
      <c r="K383">
        <f ca="1">IFERROR(__xludf.DUMMYFUNCTION("""COMPUTED_VALUE"""),40570)</f>
        <v>40570</v>
      </c>
      <c r="L383" t="str">
        <f ca="1">IFERROR(__xludf.DUMMYFUNCTION("""COMPUTED_VALUE"""),"РАЗД-СОРТИРО")</f>
        <v>РАЗД-СОРТИРО</v>
      </c>
      <c r="M383" t="str">
        <f ca="1">IFERROR(__xludf.DUMMYFUNCTION("""COMPUTED_VALUE"""),"10.08.21 12-49")</f>
        <v>10.08.21 12-49</v>
      </c>
      <c r="N383" t="str">
        <f ca="1">IFERROR(__xludf.DUMMYFUNCTION("""COMPUTED_VALUE"""),"85 ПРСТ")</f>
        <v>85 ПРСТ</v>
      </c>
      <c r="O383">
        <f ca="1">IFERROR(__xludf.DUMMYFUNCTION("""COMPUTED_VALUE"""),40510)</f>
        <v>40510</v>
      </c>
      <c r="P383" t="str">
        <f ca="1">IFERROR(__xludf.DUMMYFUNCTION("""COMPUTED_VALUE"""),"ОДЕССА-ЗАС I")</f>
        <v>ОДЕССА-ЗАС I</v>
      </c>
      <c r="Q383">
        <f ca="1">IFERROR(__xludf.DUMMYFUNCTION("""COMPUTED_VALUE"""),49620)</f>
        <v>49620</v>
      </c>
      <c r="R383" t="str">
        <f ca="1">IFERROR(__xludf.DUMMYFUNCTION("""COMPUTED_VALUE"""),"ДЕКОНСКАЯ")</f>
        <v>ДЕКОНСКАЯ</v>
      </c>
      <c r="S383" t="str">
        <f ca="1">IFERROR(__xludf.DUMMYFUNCTION("""COMPUTED_VALUE"""),"04.08.21 11-30")</f>
        <v>04.08.21 11-30</v>
      </c>
      <c r="T383">
        <f ca="1">IFERROR(__xludf.DUMMYFUNCTION("""COMPUTED_VALUE"""),4149)</f>
        <v>4149</v>
      </c>
      <c r="U383" t="str">
        <f ca="1">IFERROR(__xludf.DUMMYFUNCTION("""COMPUTED_VALUE"""),"07.07.2023 ДР")</f>
        <v>07.07.2023 ДР</v>
      </c>
      <c r="AA383" t="str">
        <f ca="1">IFERROR(__xludf.DUMMYFUNCTION("""COMPUTED_VALUE"""),"11-217")</f>
        <v>11-217</v>
      </c>
      <c r="AB383" t="str">
        <f ca="1">IFERROR(__xludf.DUMMYFUNCTION("""COMPUTED_VALUE"""),"40 ОД")</f>
        <v>40 ОД</v>
      </c>
      <c r="AC383" t="str">
        <f ca="1">IFERROR(__xludf.DUMMYFUNCTION("""COMPUTED_VALUE"""),"41190 ПОМОШНАЯ")</f>
        <v>41190 ПОМОШНАЯ</v>
      </c>
      <c r="AD383" t="str">
        <f ca="1">IFERROR(__xludf.DUMMYFUNCTION("""COMPUTED_VALUE"""),"06.07.20 09-00")</f>
        <v>06.07.20 09-00</v>
      </c>
      <c r="AE383" t="str">
        <f ca="1">IFERROR(__xludf.DUMMYFUNCTION("""COMPUTED_VALUE"""),"570 ИCТEК КAЛЕНДАРНЫЙ CPOК ДEПOВCКОГО PEМOНТA")</f>
        <v>570 ИCТEК КAЛЕНДАРНЫЙ CPOК ДEПOВCКОГО PEМOНТA</v>
      </c>
      <c r="AF383" t="str">
        <f ca="1">IFERROR(__xludf.DUMMYFUNCTION("""COMPUTED_VALUE"""),"40 ОД")</f>
        <v>40 ОД</v>
      </c>
      <c r="AG383" t="str">
        <f ca="1">IFERROR(__xludf.DUMMYFUNCTION("""COMPUTED_VALUE"""),"41190 ПОМОШНАЯ")</f>
        <v>41190 ПОМОШНАЯ</v>
      </c>
      <c r="AH383" t="str">
        <f ca="1">IFERROR(__xludf.DUMMYFUNCTION("""COMPUTED_VALUE"""),"07.07.20 18-00")</f>
        <v>07.07.20 18-00</v>
      </c>
      <c r="AI383" s="21">
        <f ca="1">IFERROR(__xludf.DUMMYFUNCTION("""COMPUTED_VALUE"""),44420.3583449074)</f>
        <v>44420.358344907399</v>
      </c>
    </row>
    <row r="384" spans="1:35" ht="13" x14ac:dyDescent="0.15">
      <c r="A384">
        <f ca="1">IFERROR(__xludf.DUMMYFUNCTION("""COMPUTED_VALUE"""),1719)</f>
        <v>1719</v>
      </c>
      <c r="B384" t="str">
        <f ca="1">IFERROR(__xludf.DUMMYFUNCTION("""COMPUTED_VALUE"""),"ВИК")</f>
        <v>ВИК</v>
      </c>
      <c r="C384" t="str">
        <f ca="1">IFERROR(__xludf.DUMMYFUNCTION("""COMPUTED_VALUE"""),"ВИК")</f>
        <v>ВИК</v>
      </c>
      <c r="D384">
        <f ca="1">IFERROR(__xludf.DUMMYFUNCTION("""COMPUTED_VALUE"""),24410250)</f>
        <v>24410250</v>
      </c>
      <c r="E384" t="str">
        <f ca="1">IFERROR(__xludf.DUMMYFUNCTION("""COMPUTED_VALUE"""),"20 КРЫТЫЕ")</f>
        <v>20 КРЫТЫЕ</v>
      </c>
      <c r="F384">
        <f ca="1">IFERROR(__xludf.DUMMYFUNCTION("""COMPUTED_VALUE"""),42103)</f>
        <v>42103</v>
      </c>
      <c r="G384" t="str">
        <f ca="1">IFERROR(__xludf.DUMMYFUNCTION("""COMPUTED_VALUE"""),"ВАГОНЫ ЖД СВ")</f>
        <v>ВАГОНЫ ЖД СВ</v>
      </c>
      <c r="H384">
        <f ca="1">IFERROR(__xludf.DUMMYFUNCTION("""COMPUTED_VALUE"""),0)</f>
        <v>0</v>
      </c>
      <c r="I384">
        <f ca="1">IFERROR(__xludf.DUMMYFUNCTION("""COMPUTED_VALUE"""),1111)</f>
        <v>1111</v>
      </c>
      <c r="J384" t="str">
        <f ca="1">IFERROR(__xludf.DUMMYFUNCTION("""COMPUTED_VALUE"""),"3895 (32000-279-32120) ДАРНИЦА - ВАСИЛЬКОВ I")</f>
        <v>3895 (32000-279-32120) ДАРНИЦА - ВАСИЛЬКОВ I</v>
      </c>
      <c r="K384">
        <f ca="1">IFERROR(__xludf.DUMMYFUNCTION("""COMPUTED_VALUE"""),32120)</f>
        <v>32120</v>
      </c>
      <c r="L384" t="str">
        <f ca="1">IFERROR(__xludf.DUMMYFUNCTION("""COMPUTED_VALUE"""),"ВАСИЛЬКОВ I")</f>
        <v>ВАСИЛЬКОВ I</v>
      </c>
      <c r="M384" t="str">
        <f ca="1">IFERROR(__xludf.DUMMYFUNCTION("""COMPUTED_VALUE"""),"10.08.21 03-45")</f>
        <v>10.08.21 03-45</v>
      </c>
      <c r="N384" t="str">
        <f ca="1">IFERROR(__xludf.DUMMYFUNCTION("""COMPUTED_VALUE"""),"91 ПРДР")</f>
        <v>91 ПРДР</v>
      </c>
      <c r="O384">
        <f ca="1">IFERROR(__xludf.DUMMYFUNCTION("""COMPUTED_VALUE"""),35260)</f>
        <v>35260</v>
      </c>
      <c r="P384" t="str">
        <f ca="1">IFERROR(__xludf.DUMMYFUNCTION("""COMPUTED_VALUE"""),"ИЗОВ-Э-ПКП")</f>
        <v>ИЗОВ-Э-ПКП</v>
      </c>
      <c r="Q384">
        <f ca="1">IFERROR(__xludf.DUMMYFUNCTION("""COMPUTED_VALUE"""),32120)</f>
        <v>32120</v>
      </c>
      <c r="R384" t="str">
        <f ca="1">IFERROR(__xludf.DUMMYFUNCTION("""COMPUTED_VALUE"""),"ВАСИЛЬКОВ I")</f>
        <v>ВАСИЛЬКОВ I</v>
      </c>
      <c r="S384" t="str">
        <f ca="1">IFERROR(__xludf.DUMMYFUNCTION("""COMPUTED_VALUE"""),"10.08.21 01-00")</f>
        <v>10.08.21 01-00</v>
      </c>
      <c r="T384">
        <f ca="1">IFERROR(__xludf.DUMMYFUNCTION("""COMPUTED_VALUE"""),4456)</f>
        <v>4456</v>
      </c>
      <c r="U384" t="str">
        <f ca="1">IFERROR(__xludf.DUMMYFUNCTION("""COMPUTED_VALUE"""),"24.09.2021 ДР")</f>
        <v>24.09.2021 ДР</v>
      </c>
      <c r="AA384" t="str">
        <f ca="1">IFERROR(__xludf.DUMMYFUNCTION("""COMPUTED_VALUE"""),"11-217")</f>
        <v>11-217</v>
      </c>
      <c r="AB384" t="str">
        <f ca="1">IFERROR(__xludf.DUMMYFUNCTION("""COMPUTED_VALUE"""),"40 ОД")</f>
        <v>40 ОД</v>
      </c>
      <c r="AC384" t="str">
        <f ca="1">IFERROR(__xludf.DUMMYFUNCTION("""COMPUTED_VALUE"""),"40510 ОДЕССА-ЗАС I")</f>
        <v>40510 ОДЕССА-ЗАС I</v>
      </c>
      <c r="AD384" t="str">
        <f ca="1">IFERROR(__xludf.DUMMYFUNCTION("""COMPUTED_VALUE"""),"26.04.21 07-00")</f>
        <v>26.04.21 07-00</v>
      </c>
      <c r="AE384" t="str">
        <f ca="1">IFERROR(__xludf.DUMMYFUNCTION("""COMPUTED_VALUE"""),"109 OCТPOКOНEЧНЫЙ НAКAТ ГPEБНЯ")</f>
        <v>109 OCТPOКOНEЧНЫЙ НAКAТ ГPEБНЯ</v>
      </c>
      <c r="AF384" t="str">
        <f ca="1">IFERROR(__xludf.DUMMYFUNCTION("""COMPUTED_VALUE"""),"40 ОД")</f>
        <v>40 ОД</v>
      </c>
      <c r="AG384" t="str">
        <f ca="1">IFERROR(__xludf.DUMMYFUNCTION("""COMPUTED_VALUE"""),"40510 ОДЕССА-ЗАС I")</f>
        <v>40510 ОДЕССА-ЗАС I</v>
      </c>
      <c r="AH384" t="str">
        <f ca="1">IFERROR(__xludf.DUMMYFUNCTION("""COMPUTED_VALUE"""),"28.04.21 10-10")</f>
        <v>28.04.21 10-10</v>
      </c>
      <c r="AI384" s="21">
        <f ca="1">IFERROR(__xludf.DUMMYFUNCTION("""COMPUTED_VALUE"""),44420.3583449074)</f>
        <v>44420.358344907399</v>
      </c>
    </row>
    <row r="385" spans="1:35" ht="13" x14ac:dyDescent="0.15">
      <c r="A385">
        <f ca="1">IFERROR(__xludf.DUMMYFUNCTION("""COMPUTED_VALUE"""),1720)</f>
        <v>1720</v>
      </c>
      <c r="B385" t="str">
        <f ca="1">IFERROR(__xludf.DUMMYFUNCTION("""COMPUTED_VALUE"""),"ВИК")</f>
        <v>ВИК</v>
      </c>
      <c r="C385" t="str">
        <f ca="1">IFERROR(__xludf.DUMMYFUNCTION("""COMPUTED_VALUE"""),"ВИК")</f>
        <v>ВИК</v>
      </c>
      <c r="D385">
        <f ca="1">IFERROR(__xludf.DUMMYFUNCTION("""COMPUTED_VALUE"""),24478588)</f>
        <v>24478588</v>
      </c>
      <c r="E385" t="str">
        <f ca="1">IFERROR(__xludf.DUMMYFUNCTION("""COMPUTED_VALUE"""),"20 КРЫТЫЕ")</f>
        <v>20 КРЫТЫЕ</v>
      </c>
      <c r="F385">
        <f ca="1">IFERROR(__xludf.DUMMYFUNCTION("""COMPUTED_VALUE"""),53103)</f>
        <v>53103</v>
      </c>
      <c r="G385" t="str">
        <f ca="1">IFERROR(__xludf.DUMMYFUNCTION("""COMPUTED_VALUE"""),"СОЛЬ ПИЩ МОЛОТ")</f>
        <v>СОЛЬ ПИЩ МОЛОТ</v>
      </c>
      <c r="H385">
        <f ca="1">IFERROR(__xludf.DUMMYFUNCTION("""COMPUTED_VALUE"""),68)</f>
        <v>68</v>
      </c>
      <c r="I385">
        <f ca="1">IFERROR(__xludf.DUMMYFUNCTION("""COMPUTED_VALUE"""),3401)</f>
        <v>3401</v>
      </c>
      <c r="J385" t="str">
        <f ca="1">IFERROR(__xludf.DUMMYFUNCTION("""COMPUTED_VALUE"""),"2715 (44020-178-32000) ОСНОВА - ДАРНИЦА")</f>
        <v>2715 (44020-178-32000) ОСНОВА - ДАРНИЦА</v>
      </c>
      <c r="K385">
        <f ca="1">IFERROR(__xludf.DUMMYFUNCTION("""COMPUTED_VALUE"""),32300)</f>
        <v>32300</v>
      </c>
      <c r="L385" t="str">
        <f ca="1">IFERROR(__xludf.DUMMYFUNCTION("""COMPUTED_VALUE"""),"ЯГОТИН")</f>
        <v>ЯГОТИН</v>
      </c>
      <c r="M385" t="str">
        <f ca="1">IFERROR(__xludf.DUMMYFUNCTION("""COMPUTED_VALUE"""),"12.08.21 08-20")</f>
        <v>12.08.21 08-20</v>
      </c>
      <c r="N385" t="str">
        <f ca="1">IFERROR(__xludf.DUMMYFUNCTION("""COMPUTED_VALUE"""),"02 ОТПР")</f>
        <v>02 ОТПР</v>
      </c>
      <c r="O385">
        <f ca="1">IFERROR(__xludf.DUMMYFUNCTION("""COMPUTED_VALUE"""),32060)</f>
        <v>32060</v>
      </c>
      <c r="P385" t="str">
        <f ca="1">IFERROR(__xludf.DUMMYFUNCTION("""COMPUTED_VALUE"""),"ПОЧАЙНА")</f>
        <v>ПОЧАЙНА</v>
      </c>
      <c r="Q385">
        <f ca="1">IFERROR(__xludf.DUMMYFUNCTION("""COMPUTED_VALUE"""),49480)</f>
        <v>49480</v>
      </c>
      <c r="R385" t="str">
        <f ca="1">IFERROR(__xludf.DUMMYFUNCTION("""COMPUTED_VALUE"""),"СОЛЬ")</f>
        <v>СОЛЬ</v>
      </c>
      <c r="S385" t="str">
        <f ca="1">IFERROR(__xludf.DUMMYFUNCTION("""COMPUTED_VALUE"""),"08.08.21 15-55")</f>
        <v>08.08.21 15-55</v>
      </c>
      <c r="T385">
        <f ca="1">IFERROR(__xludf.DUMMYFUNCTION("""COMPUTED_VALUE"""),4714)</f>
        <v>4714</v>
      </c>
      <c r="U385" t="str">
        <f ca="1">IFERROR(__xludf.DUMMYFUNCTION("""COMPUTED_VALUE"""),"28.01.2023 ДР")</f>
        <v>28.01.2023 ДР</v>
      </c>
      <c r="AA385" t="str">
        <f ca="1">IFERROR(__xludf.DUMMYFUNCTION("""COMPUTED_VALUE"""),"11-217")</f>
        <v>11-217</v>
      </c>
      <c r="AB385" t="str">
        <f ca="1">IFERROR(__xludf.DUMMYFUNCTION("""COMPUTED_VALUE"""),"40 ОД")</f>
        <v>40 ОД</v>
      </c>
      <c r="AC385" t="str">
        <f ca="1">IFERROR(__xludf.DUMMYFUNCTION("""COMPUTED_VALUE"""),"41190 ПОМОШНАЯ")</f>
        <v>41190 ПОМОШНАЯ</v>
      </c>
      <c r="AD385" t="str">
        <f ca="1">IFERROR(__xludf.DUMMYFUNCTION("""COMPUTED_VALUE"""),"17.01.21 08-30")</f>
        <v>17.01.21 08-30</v>
      </c>
      <c r="AE385" t="str">
        <f ca="1">IFERROR(__xludf.DUMMYFUNCTION("""COMPUTED_VALUE"""),"570 ИCТEК КAЛЕНДАРНЫЙ CPOК ДEПOВCКОГО PEМOНТA")</f>
        <v>570 ИCТEК КAЛЕНДАРНЫЙ CPOК ДEПOВCКОГО PEМOНТA</v>
      </c>
      <c r="AF385" t="str">
        <f ca="1">IFERROR(__xludf.DUMMYFUNCTION("""COMPUTED_VALUE"""),"40 ОД")</f>
        <v>40 ОД</v>
      </c>
      <c r="AG385" t="str">
        <f ca="1">IFERROR(__xludf.DUMMYFUNCTION("""COMPUTED_VALUE"""),"41190 ПОМОШНАЯ")</f>
        <v>41190 ПОМОШНАЯ</v>
      </c>
      <c r="AH385" t="str">
        <f ca="1">IFERROR(__xludf.DUMMYFUNCTION("""COMPUTED_VALUE"""),"28.01.21 15-00")</f>
        <v>28.01.21 15-00</v>
      </c>
      <c r="AI385" s="21">
        <f ca="1">IFERROR(__xludf.DUMMYFUNCTION("""COMPUTED_VALUE"""),44420.3583449074)</f>
        <v>44420.358344907399</v>
      </c>
    </row>
    <row r="386" spans="1:35" ht="13" x14ac:dyDescent="0.15">
      <c r="A386">
        <f ca="1">IFERROR(__xludf.DUMMYFUNCTION("""COMPUTED_VALUE"""),1721)</f>
        <v>1721</v>
      </c>
      <c r="B386" t="str">
        <f ca="1">IFERROR(__xludf.DUMMYFUNCTION("""COMPUTED_VALUE"""),"ВИК")</f>
        <v>ВИК</v>
      </c>
      <c r="C386" t="str">
        <f ca="1">IFERROR(__xludf.DUMMYFUNCTION("""COMPUTED_VALUE"""),"ВИК")</f>
        <v>ВИК</v>
      </c>
      <c r="D386">
        <f ca="1">IFERROR(__xludf.DUMMYFUNCTION("""COMPUTED_VALUE"""),24478620)</f>
        <v>24478620</v>
      </c>
      <c r="E386" t="str">
        <f ca="1">IFERROR(__xludf.DUMMYFUNCTION("""COMPUTED_VALUE"""),"20 КРЫТЫЕ")</f>
        <v>20 КРЫТЫЕ</v>
      </c>
      <c r="F386">
        <f ca="1">IFERROR(__xludf.DUMMYFUNCTION("""COMPUTED_VALUE"""),42103)</f>
        <v>42103</v>
      </c>
      <c r="G386" t="str">
        <f ca="1">IFERROR(__xludf.DUMMYFUNCTION("""COMPUTED_VALUE"""),"ВАГОНЫ ЖД СВ")</f>
        <v>ВАГОНЫ ЖД СВ</v>
      </c>
      <c r="H386">
        <f ca="1">IFERROR(__xludf.DUMMYFUNCTION("""COMPUTED_VALUE"""),68)</f>
        <v>68</v>
      </c>
      <c r="I386">
        <f ca="1">IFERROR(__xludf.DUMMYFUNCTION("""COMPUTED_VALUE"""),4714)</f>
        <v>4714</v>
      </c>
      <c r="J386" t="str">
        <f ca="1">IFERROR(__xludf.DUMMYFUNCTION("""COMPUTED_VALUE"""),"3505 (49000-069-49460) ЛИМАН - БАХМУТ")</f>
        <v>3505 (49000-069-49460) ЛИМАН - БАХМУТ</v>
      </c>
      <c r="K386">
        <f ca="1">IFERROR(__xludf.DUMMYFUNCTION("""COMPUTED_VALUE"""),49480)</f>
        <v>49480</v>
      </c>
      <c r="L386" t="str">
        <f ca="1">IFERROR(__xludf.DUMMYFUNCTION("""COMPUTED_VALUE"""),"СОЛЬ")</f>
        <v>СОЛЬ</v>
      </c>
      <c r="M386" t="str">
        <f ca="1">IFERROR(__xludf.DUMMYFUNCTION("""COMPUTED_VALUE"""),"28.07.21 08-55")</f>
        <v>28.07.21 08-55</v>
      </c>
      <c r="N386" t="str">
        <f ca="1">IFERROR(__xludf.DUMMYFUNCTION("""COMPUTED_VALUE"""),"98 ОТОТ")</f>
        <v>98 ОТОТ</v>
      </c>
      <c r="O386">
        <f ca="1">IFERROR(__xludf.DUMMYFUNCTION("""COMPUTED_VALUE"""),49480)</f>
        <v>49480</v>
      </c>
      <c r="P386" t="str">
        <f ca="1">IFERROR(__xludf.DUMMYFUNCTION("""COMPUTED_VALUE"""),"СОЛЬ")</f>
        <v>СОЛЬ</v>
      </c>
      <c r="Q386">
        <f ca="1">IFERROR(__xludf.DUMMYFUNCTION("""COMPUTED_VALUE"""),41220)</f>
        <v>41220</v>
      </c>
      <c r="R386" t="str">
        <f ca="1">IFERROR(__xludf.DUMMYFUNCTION("""COMPUTED_VALUE"""),"БАНДУРКА")</f>
        <v>БАНДУРКА</v>
      </c>
      <c r="S386" t="str">
        <f ca="1">IFERROR(__xludf.DUMMYFUNCTION("""COMPUTED_VALUE"""),"09.06.21 15-50")</f>
        <v>09.06.21 15-50</v>
      </c>
      <c r="T386">
        <f ca="1">IFERROR(__xludf.DUMMYFUNCTION("""COMPUTED_VALUE"""),0)</f>
        <v>0</v>
      </c>
      <c r="U386" t="str">
        <f ca="1">IFERROR(__xludf.DUMMYFUNCTION("""COMPUTED_VALUE"""),"28.02.2023 ДР")</f>
        <v>28.02.2023 ДР</v>
      </c>
      <c r="AA386" t="str">
        <f ca="1">IFERROR(__xludf.DUMMYFUNCTION("""COMPUTED_VALUE"""),"11-217")</f>
        <v>11-217</v>
      </c>
      <c r="AB386" t="str">
        <f ca="1">IFERROR(__xludf.DUMMYFUNCTION("""COMPUTED_VALUE"""),"45 ПРИДН")</f>
        <v>45 ПРИДН</v>
      </c>
      <c r="AC386" t="str">
        <f ca="1">IFERROR(__xludf.DUMMYFUNCTION("""COMPUTED_VALUE"""),"46000 ЗАПОРОЖ-ЛЕВ")</f>
        <v>46000 ЗАПОРОЖ-ЛЕВ</v>
      </c>
      <c r="AD386" t="str">
        <f ca="1">IFERROR(__xludf.DUMMYFUNCTION("""COMPUTED_VALUE"""),"04.02.21 06-50")</f>
        <v>04.02.21 06-50</v>
      </c>
      <c r="AE386" t="str">
        <f ca="1">IFERROR(__xludf.DUMMYFUNCTION("""COMPUTED_VALUE"""),"450 ИЗГИБ/ИЗЛOМ ТPИAНГEЛЯ")</f>
        <v>450 ИЗГИБ/ИЗЛOМ ТPИAНГEЛЯ</v>
      </c>
      <c r="AF386" t="str">
        <f ca="1">IFERROR(__xludf.DUMMYFUNCTION("""COMPUTED_VALUE"""),"45 ПРИДН")</f>
        <v>45 ПРИДН</v>
      </c>
      <c r="AG386" t="str">
        <f ca="1">IFERROR(__xludf.DUMMYFUNCTION("""COMPUTED_VALUE"""),"46000 ЗАПОРОЖ-ЛЕВ")</f>
        <v>46000 ЗАПОРОЖ-ЛЕВ</v>
      </c>
      <c r="AH386" t="str">
        <f ca="1">IFERROR(__xludf.DUMMYFUNCTION("""COMPUTED_VALUE"""),"12.02.21 10-40")</f>
        <v>12.02.21 10-40</v>
      </c>
      <c r="AI386" s="21">
        <f ca="1">IFERROR(__xludf.DUMMYFUNCTION("""COMPUTED_VALUE"""),44420.3583449074)</f>
        <v>44420.358344907399</v>
      </c>
    </row>
    <row r="387" spans="1:35" ht="13" x14ac:dyDescent="0.15">
      <c r="A387">
        <f ca="1">IFERROR(__xludf.DUMMYFUNCTION("""COMPUTED_VALUE"""),1722)</f>
        <v>1722</v>
      </c>
      <c r="B387" t="str">
        <f ca="1">IFERROR(__xludf.DUMMYFUNCTION("""COMPUTED_VALUE"""),"ВИК")</f>
        <v>ВИК</v>
      </c>
      <c r="C387" t="str">
        <f ca="1">IFERROR(__xludf.DUMMYFUNCTION("""COMPUTED_VALUE"""),"ВИК")</f>
        <v>ВИК</v>
      </c>
      <c r="D387">
        <f ca="1">IFERROR(__xludf.DUMMYFUNCTION("""COMPUTED_VALUE"""),24478638)</f>
        <v>24478638</v>
      </c>
      <c r="E387" t="str">
        <f ca="1">IFERROR(__xludf.DUMMYFUNCTION("""COMPUTED_VALUE"""),"20 КРЫТЫЕ")</f>
        <v>20 КРЫТЫЕ</v>
      </c>
      <c r="F387">
        <f ca="1">IFERROR(__xludf.DUMMYFUNCTION("""COMPUTED_VALUE"""),43619)</f>
        <v>43619</v>
      </c>
      <c r="G387" t="str">
        <f ca="1">IFERROR(__xludf.DUMMYFUNCTION("""COMPUTED_VALUE"""),"УДОБР ХИМ ПР")</f>
        <v>УДОБР ХИМ ПР</v>
      </c>
      <c r="H387">
        <f ca="1">IFERROR(__xludf.DUMMYFUNCTION("""COMPUTED_VALUE"""),68)</f>
        <v>68</v>
      </c>
      <c r="I387">
        <f ca="1">IFERROR(__xludf.DUMMYFUNCTION("""COMPUTED_VALUE"""),5539)</f>
        <v>5539</v>
      </c>
      <c r="J387" t="str">
        <f ca="1">IFERROR(__xludf.DUMMYFUNCTION("""COMPUTED_VALUE"""),"3603 (35400-082-35310) КОВЕЛЬ - ИВАНИЧИ")</f>
        <v>3603 (35400-082-35310) КОВЕЛЬ - ИВАНИЧИ</v>
      </c>
      <c r="K387">
        <f ca="1">IFERROR(__xludf.DUMMYFUNCTION("""COMPUTED_VALUE"""),35400)</f>
        <v>35400</v>
      </c>
      <c r="L387" t="str">
        <f ca="1">IFERROR(__xludf.DUMMYFUNCTION("""COMPUTED_VALUE"""),"КОВЕЛЬ")</f>
        <v>КОВЕЛЬ</v>
      </c>
      <c r="M387" t="str">
        <f ca="1">IFERROR(__xludf.DUMMYFUNCTION("""COMPUTED_VALUE"""),"11.08.21 17-28")</f>
        <v>11.08.21 17-28</v>
      </c>
      <c r="N387" t="str">
        <f ca="1">IFERROR(__xludf.DUMMYFUNCTION("""COMPUTED_VALUE"""),"85 ПРСТ")</f>
        <v>85 ПРСТ</v>
      </c>
      <c r="O387">
        <f ca="1">IFERROR(__xludf.DUMMYFUNCTION("""COMPUTED_VALUE"""),37170)</f>
        <v>37170</v>
      </c>
      <c r="P387" t="str">
        <f ca="1">IFERROR(__xludf.DUMMYFUNCTION("""COMPUTED_VALUE"""),"РАДЕХОВ")</f>
        <v>РАДЕХОВ</v>
      </c>
      <c r="Q387">
        <f ca="1">IFERROR(__xludf.DUMMYFUNCTION("""COMPUTED_VALUE"""),35260)</f>
        <v>35260</v>
      </c>
      <c r="R387" t="str">
        <f ca="1">IFERROR(__xludf.DUMMYFUNCTION("""COMPUTED_VALUE"""),"ИЗОВ-Э-ПКП")</f>
        <v>ИЗОВ-Э-ПКП</v>
      </c>
      <c r="S387" t="str">
        <f ca="1">IFERROR(__xludf.DUMMYFUNCTION("""COMPUTED_VALUE"""),"10.08.21 16-15")</f>
        <v>10.08.21 16-15</v>
      </c>
      <c r="U387" t="str">
        <f ca="1">IFERROR(__xludf.DUMMYFUNCTION("""COMPUTED_VALUE"""),"24.10.2021 ДР")</f>
        <v>24.10.2021 ДР</v>
      </c>
      <c r="AA387" t="str">
        <f ca="1">IFERROR(__xludf.DUMMYFUNCTION("""COMPUTED_VALUE"""),"11-217")</f>
        <v>11-217</v>
      </c>
      <c r="AB387" t="str">
        <f ca="1">IFERROR(__xludf.DUMMYFUNCTION("""COMPUTED_VALUE"""),"32 Ю-ЗАП")</f>
        <v>32 Ю-ЗАП</v>
      </c>
      <c r="AC387" t="str">
        <f ca="1">IFERROR(__xludf.DUMMYFUNCTION("""COMPUTED_VALUE"""),"33000 ЖМЕРИНКА")</f>
        <v>33000 ЖМЕРИНКА</v>
      </c>
      <c r="AD387" t="str">
        <f ca="1">IFERROR(__xludf.DUMMYFUNCTION("""COMPUTED_VALUE"""),"25.03.20 08-20")</f>
        <v>25.03.20 08-20</v>
      </c>
      <c r="AE387" t="str">
        <f ca="1">IFERROR(__xludf.DUMMYFUNCTION("""COMPUTED_VALUE"""),"537 НEИCПPAВНOCТЬ ЗAПOPA ДВEPИ")</f>
        <v>537 НEИCПPAВНOCТЬ ЗAПOPA ДВEPИ</v>
      </c>
      <c r="AF387" t="str">
        <f ca="1">IFERROR(__xludf.DUMMYFUNCTION("""COMPUTED_VALUE"""),"32 Ю-ЗАП")</f>
        <v>32 Ю-ЗАП</v>
      </c>
      <c r="AG387" t="str">
        <f ca="1">IFERROR(__xludf.DUMMYFUNCTION("""COMPUTED_VALUE"""),"33000 ЖМЕРИНКА")</f>
        <v>33000 ЖМЕРИНКА</v>
      </c>
      <c r="AH387" t="str">
        <f ca="1">IFERROR(__xludf.DUMMYFUNCTION("""COMPUTED_VALUE"""),"25.03.20 18-00")</f>
        <v>25.03.20 18-00</v>
      </c>
      <c r="AI387" s="21">
        <f ca="1">IFERROR(__xludf.DUMMYFUNCTION("""COMPUTED_VALUE"""),44420.3583449074)</f>
        <v>44420.358344907399</v>
      </c>
    </row>
    <row r="388" spans="1:35" ht="13" x14ac:dyDescent="0.15">
      <c r="A388">
        <f ca="1">IFERROR(__xludf.DUMMYFUNCTION("""COMPUTED_VALUE"""),1723)</f>
        <v>1723</v>
      </c>
      <c r="B388" t="str">
        <f ca="1">IFERROR(__xludf.DUMMYFUNCTION("""COMPUTED_VALUE"""),"ВИК")</f>
        <v>ВИК</v>
      </c>
      <c r="C388" t="str">
        <f ca="1">IFERROR(__xludf.DUMMYFUNCTION("""COMPUTED_VALUE"""),"ВИК")</f>
        <v>ВИК</v>
      </c>
      <c r="D388">
        <f ca="1">IFERROR(__xludf.DUMMYFUNCTION("""COMPUTED_VALUE"""),24478653)</f>
        <v>24478653</v>
      </c>
      <c r="E388" t="str">
        <f ca="1">IFERROR(__xludf.DUMMYFUNCTION("""COMPUTED_VALUE"""),"20 КРЫТЫЕ")</f>
        <v>20 КРЫТЫЕ</v>
      </c>
      <c r="F388">
        <f ca="1">IFERROR(__xludf.DUMMYFUNCTION("""COMPUTED_VALUE"""),42103)</f>
        <v>42103</v>
      </c>
      <c r="G388" t="str">
        <f ca="1">IFERROR(__xludf.DUMMYFUNCTION("""COMPUTED_VALUE"""),"ВАГОНЫ ЖД СВ")</f>
        <v>ВАГОНЫ ЖД СВ</v>
      </c>
      <c r="H388">
        <f ca="1">IFERROR(__xludf.DUMMYFUNCTION("""COMPUTED_VALUE"""),0)</f>
        <v>0</v>
      </c>
      <c r="I388">
        <f ca="1">IFERROR(__xludf.DUMMYFUNCTION("""COMPUTED_VALUE"""),4149)</f>
        <v>4149</v>
      </c>
      <c r="J388" t="str">
        <f ca="1">IFERROR(__xludf.DUMMYFUNCTION("""COMPUTED_VALUE"""),"3802 (49640-064-49620)  - ДЕКОНСКАЯ")</f>
        <v>3802 (49640-064-49620)  - ДЕКОНСКАЯ</v>
      </c>
      <c r="K388">
        <f ca="1">IFERROR(__xludf.DUMMYFUNCTION("""COMPUTED_VALUE"""),49620)</f>
        <v>49620</v>
      </c>
      <c r="L388" t="str">
        <f ca="1">IFERROR(__xludf.DUMMYFUNCTION("""COMPUTED_VALUE"""),"ДЕКОНСКАЯ")</f>
        <v>ДЕКОНСКАЯ</v>
      </c>
      <c r="M388" t="str">
        <f ca="1">IFERROR(__xludf.DUMMYFUNCTION("""COMPUTED_VALUE"""),"08.08.21 11-00")</f>
        <v>08.08.21 11-00</v>
      </c>
      <c r="N388" t="str">
        <f ca="1">IFERROR(__xludf.DUMMYFUNCTION("""COMPUTED_VALUE"""),"98 ОТОТ")</f>
        <v>98 ОТОТ</v>
      </c>
      <c r="O388">
        <f ca="1">IFERROR(__xludf.DUMMYFUNCTION("""COMPUTED_VALUE"""),49620)</f>
        <v>49620</v>
      </c>
      <c r="P388" t="str">
        <f ca="1">IFERROR(__xludf.DUMMYFUNCTION("""COMPUTED_VALUE"""),"ДЕКОНСКАЯ")</f>
        <v>ДЕКОНСКАЯ</v>
      </c>
      <c r="Q388">
        <f ca="1">IFERROR(__xludf.DUMMYFUNCTION("""COMPUTED_VALUE"""),38840)</f>
        <v>38840</v>
      </c>
      <c r="R388" t="str">
        <f ca="1">IFERROR(__xludf.DUMMYFUNCTION("""COMPUTED_VALUE"""),"ИВАНО-ФРАНК")</f>
        <v>ИВАНО-ФРАНК</v>
      </c>
      <c r="S388" t="str">
        <f ca="1">IFERROR(__xludf.DUMMYFUNCTION("""COMPUTED_VALUE"""),"28.07.21 16-00")</f>
        <v>28.07.21 16-00</v>
      </c>
      <c r="T388">
        <f ca="1">IFERROR(__xludf.DUMMYFUNCTION("""COMPUTED_VALUE"""),4456)</f>
        <v>4456</v>
      </c>
      <c r="U388" t="str">
        <f ca="1">IFERROR(__xludf.DUMMYFUNCTION("""COMPUTED_VALUE"""),"05.01.2023 ТР-1")</f>
        <v>05.01.2023 ТР-1</v>
      </c>
      <c r="AA388" t="str">
        <f ca="1">IFERROR(__xludf.DUMMYFUNCTION("""COMPUTED_VALUE"""),"11-217")</f>
        <v>11-217</v>
      </c>
      <c r="AB388" t="str">
        <f ca="1">IFERROR(__xludf.DUMMYFUNCTION("""COMPUTED_VALUE"""),"40 ОД")</f>
        <v>40 ОД</v>
      </c>
      <c r="AC388" t="str">
        <f ca="1">IFERROR(__xludf.DUMMYFUNCTION("""COMPUTED_VALUE"""),"41190 ПОМОШНАЯ")</f>
        <v>41190 ПОМОШНАЯ</v>
      </c>
      <c r="AD388" t="str">
        <f ca="1">IFERROR(__xludf.DUMMYFUNCTION("""COMPUTED_VALUE"""),"08.01.21 09-00")</f>
        <v>08.01.21 09-00</v>
      </c>
      <c r="AE388" t="str">
        <f ca="1">IFERROR(__xludf.DUMMYFUNCTION("""COMPUTED_VALUE"""),"570 ИCТEК КAЛЕНДАРНЫЙ CPOК ДEПOВCКОГО PEМOНТA")</f>
        <v>570 ИCТEК КAЛЕНДАРНЫЙ CPOК ДEПOВCКОГО PEМOНТA</v>
      </c>
      <c r="AF388" t="str">
        <f ca="1">IFERROR(__xludf.DUMMYFUNCTION("""COMPUTED_VALUE"""),"40 ОД")</f>
        <v>40 ОД</v>
      </c>
      <c r="AG388" t="str">
        <f ca="1">IFERROR(__xludf.DUMMYFUNCTION("""COMPUTED_VALUE"""),"41190 ПОМОШНАЯ")</f>
        <v>41190 ПОМОШНАЯ</v>
      </c>
      <c r="AH388" t="str">
        <f ca="1">IFERROR(__xludf.DUMMYFUNCTION("""COMPUTED_VALUE"""),"28.01.21 15-00")</f>
        <v>28.01.21 15-00</v>
      </c>
      <c r="AI388" s="21">
        <f ca="1">IFERROR(__xludf.DUMMYFUNCTION("""COMPUTED_VALUE"""),44420.3583449074)</f>
        <v>44420.358344907399</v>
      </c>
    </row>
    <row r="389" spans="1:35" ht="13" x14ac:dyDescent="0.15">
      <c r="A389">
        <f ca="1">IFERROR(__xludf.DUMMYFUNCTION("""COMPUTED_VALUE"""),1724)</f>
        <v>1724</v>
      </c>
      <c r="B389" t="str">
        <f ca="1">IFERROR(__xludf.DUMMYFUNCTION("""COMPUTED_VALUE"""),"ВИК")</f>
        <v>ВИК</v>
      </c>
      <c r="C389" t="str">
        <f ca="1">IFERROR(__xludf.DUMMYFUNCTION("""COMPUTED_VALUE"""),"ВИК")</f>
        <v>ВИК</v>
      </c>
      <c r="D389">
        <f ca="1">IFERROR(__xludf.DUMMYFUNCTION("""COMPUTED_VALUE"""),24478661)</f>
        <v>24478661</v>
      </c>
      <c r="E389" t="str">
        <f ca="1">IFERROR(__xludf.DUMMYFUNCTION("""COMPUTED_VALUE"""),"20 КРЫТЫЕ")</f>
        <v>20 КРЫТЫЕ</v>
      </c>
      <c r="F389">
        <f ca="1">IFERROR(__xludf.DUMMYFUNCTION("""COMPUTED_VALUE"""),42103)</f>
        <v>42103</v>
      </c>
      <c r="G389" t="str">
        <f ca="1">IFERROR(__xludf.DUMMYFUNCTION("""COMPUTED_VALUE"""),"ВАГОНЫ ЖД СВ")</f>
        <v>ВАГОНЫ ЖД СВ</v>
      </c>
      <c r="H389">
        <f ca="1">IFERROR(__xludf.DUMMYFUNCTION("""COMPUTED_VALUE"""),0)</f>
        <v>0</v>
      </c>
      <c r="I389">
        <f ca="1">IFERROR(__xludf.DUMMYFUNCTION("""COMPUTED_VALUE"""),4149)</f>
        <v>4149</v>
      </c>
      <c r="J389" t="str">
        <f ca="1">IFERROR(__xludf.DUMMYFUNCTION("""COMPUTED_VALUE"""),"3632 (32040-006-32000) ГРУШКИ - ДАРНИЦА")</f>
        <v>3632 (32040-006-32000) ГРУШКИ - ДАРНИЦА</v>
      </c>
      <c r="K389">
        <f ca="1">IFERROR(__xludf.DUMMYFUNCTION("""COMPUTED_VALUE"""),32000)</f>
        <v>32000</v>
      </c>
      <c r="L389" t="str">
        <f ca="1">IFERROR(__xludf.DUMMYFUNCTION("""COMPUTED_VALUE"""),"ДАРНИЦА")</f>
        <v>ДАРНИЦА</v>
      </c>
      <c r="M389" t="str">
        <f ca="1">IFERROR(__xludf.DUMMYFUNCTION("""COMPUTED_VALUE"""),"12.08.21 01-01")</f>
        <v>12.08.21 01-01</v>
      </c>
      <c r="N389" t="str">
        <f ca="1">IFERROR(__xludf.DUMMYFUNCTION("""COMPUTED_VALUE"""),"04 РАСФ")</f>
        <v>04 РАСФ</v>
      </c>
      <c r="O389">
        <f ca="1">IFERROR(__xludf.DUMMYFUNCTION("""COMPUTED_VALUE"""),49620)</f>
        <v>49620</v>
      </c>
      <c r="P389" t="str">
        <f ca="1">IFERROR(__xludf.DUMMYFUNCTION("""COMPUTED_VALUE"""),"ДЕКОНСКАЯ")</f>
        <v>ДЕКОНСКАЯ</v>
      </c>
      <c r="Q389">
        <f ca="1">IFERROR(__xludf.DUMMYFUNCTION("""COMPUTED_VALUE"""),32040)</f>
        <v>32040</v>
      </c>
      <c r="R389" t="str">
        <f ca="1">IFERROR(__xludf.DUMMYFUNCTION("""COMPUTED_VALUE"""),"ГРУШКИ")</f>
        <v>ГРУШКИ</v>
      </c>
      <c r="S389" t="str">
        <f ca="1">IFERROR(__xludf.DUMMYFUNCTION("""COMPUTED_VALUE"""),"09.08.21 15-00")</f>
        <v>09.08.21 15-00</v>
      </c>
      <c r="T389">
        <f ca="1">IFERROR(__xludf.DUMMYFUNCTION("""COMPUTED_VALUE"""),4456)</f>
        <v>4456</v>
      </c>
      <c r="U389" t="str">
        <f ca="1">IFERROR(__xludf.DUMMYFUNCTION("""COMPUTED_VALUE"""),"04.02.2023 ТР-1")</f>
        <v>04.02.2023 ТР-1</v>
      </c>
      <c r="AA389" t="str">
        <f ca="1">IFERROR(__xludf.DUMMYFUNCTION("""COMPUTED_VALUE"""),"11-217")</f>
        <v>11-217</v>
      </c>
      <c r="AB389" t="str">
        <f ca="1">IFERROR(__xludf.DUMMYFUNCTION("""COMPUTED_VALUE"""),"40 ОД")</f>
        <v>40 ОД</v>
      </c>
      <c r="AC389" t="str">
        <f ca="1">IFERROR(__xludf.DUMMYFUNCTION("""COMPUTED_VALUE"""),"41190 ПОМОШНАЯ")</f>
        <v>41190 ПОМОШНАЯ</v>
      </c>
      <c r="AD389" t="str">
        <f ca="1">IFERROR(__xludf.DUMMYFUNCTION("""COMPUTED_VALUE"""),"09.01.21 08-00")</f>
        <v>09.01.21 08-00</v>
      </c>
      <c r="AE389" t="str">
        <f ca="1">IFERROR(__xludf.DUMMYFUNCTION("""COMPUTED_VALUE"""),"570 ИCТEК КAЛЕНДАРНЫЙ CPOК ДEПOВCКОГО PEМOНТA")</f>
        <v>570 ИCТEК КAЛЕНДАРНЫЙ CPOК ДEПOВCКОГО PEМOНТA</v>
      </c>
      <c r="AF389" t="str">
        <f ca="1">IFERROR(__xludf.DUMMYFUNCTION("""COMPUTED_VALUE"""),"40 ОД")</f>
        <v>40 ОД</v>
      </c>
      <c r="AG389" t="str">
        <f ca="1">IFERROR(__xludf.DUMMYFUNCTION("""COMPUTED_VALUE"""),"41190 ПОМОШНАЯ")</f>
        <v>41190 ПОМОШНАЯ</v>
      </c>
      <c r="AH389" t="str">
        <f ca="1">IFERROR(__xludf.DUMMYFUNCTION("""COMPUTED_VALUE"""),"30.03.21 17-30")</f>
        <v>30.03.21 17-30</v>
      </c>
      <c r="AI389" s="21">
        <f ca="1">IFERROR(__xludf.DUMMYFUNCTION("""COMPUTED_VALUE"""),44420.3583449074)</f>
        <v>44420.358344907399</v>
      </c>
    </row>
    <row r="390" spans="1:35" ht="13" x14ac:dyDescent="0.15">
      <c r="A390">
        <f ca="1">IFERROR(__xludf.DUMMYFUNCTION("""COMPUTED_VALUE"""),1725)</f>
        <v>1725</v>
      </c>
      <c r="B390" t="str">
        <f ca="1">IFERROR(__xludf.DUMMYFUNCTION("""COMPUTED_VALUE"""),"ВИК")</f>
        <v>ВИК</v>
      </c>
      <c r="C390" t="str">
        <f ca="1">IFERROR(__xludf.DUMMYFUNCTION("""COMPUTED_VALUE"""),"ВИК")</f>
        <v>ВИК</v>
      </c>
      <c r="D390">
        <f ca="1">IFERROR(__xludf.DUMMYFUNCTION("""COMPUTED_VALUE"""),24478703)</f>
        <v>24478703</v>
      </c>
      <c r="E390" t="str">
        <f ca="1">IFERROR(__xludf.DUMMYFUNCTION("""COMPUTED_VALUE"""),"20 КРЫТЫЕ")</f>
        <v>20 КРЫТЫЕ</v>
      </c>
      <c r="F390">
        <f ca="1">IFERROR(__xludf.DUMMYFUNCTION("""COMPUTED_VALUE"""),42103)</f>
        <v>42103</v>
      </c>
      <c r="G390" t="str">
        <f ca="1">IFERROR(__xludf.DUMMYFUNCTION("""COMPUTED_VALUE"""),"ВАГОНЫ ЖД СВ")</f>
        <v>ВАГОНЫ ЖД СВ</v>
      </c>
      <c r="H390">
        <f ca="1">IFERROR(__xludf.DUMMYFUNCTION("""COMPUTED_VALUE"""),0)</f>
        <v>0</v>
      </c>
      <c r="I390">
        <f ca="1">IFERROR(__xludf.DUMMYFUNCTION("""COMPUTED_VALUE"""),4026)</f>
        <v>4026</v>
      </c>
      <c r="J390" t="str">
        <f ca="1">IFERROR(__xludf.DUMMYFUNCTION("""COMPUTED_VALUE"""),"3514 (48620-079-48630) ВОЛНОВАХА - ВЕЛИКО-АНАД")</f>
        <v>3514 (48620-079-48630) ВОЛНОВАХА - ВЕЛИКО-АНАД</v>
      </c>
      <c r="K390">
        <f ca="1">IFERROR(__xludf.DUMMYFUNCTION("""COMPUTED_VALUE"""),48630)</f>
        <v>48630</v>
      </c>
      <c r="L390" t="str">
        <f ca="1">IFERROR(__xludf.DUMMYFUNCTION("""COMPUTED_VALUE"""),"ВЕЛИКО-АНАД")</f>
        <v>ВЕЛИКО-АНАД</v>
      </c>
      <c r="M390" t="str">
        <f ca="1">IFERROR(__xludf.DUMMYFUNCTION("""COMPUTED_VALUE"""),"07.08.21 11-30")</f>
        <v>07.08.21 11-30</v>
      </c>
      <c r="N390" t="str">
        <f ca="1">IFERROR(__xludf.DUMMYFUNCTION("""COMPUTED_VALUE"""),"98 ОТОТ")</f>
        <v>98 ОТОТ</v>
      </c>
      <c r="O390">
        <f ca="1">IFERROR(__xludf.DUMMYFUNCTION("""COMPUTED_VALUE"""),48630)</f>
        <v>48630</v>
      </c>
      <c r="P390" t="str">
        <f ca="1">IFERROR(__xludf.DUMMYFUNCTION("""COMPUTED_VALUE"""),"ВЕЛИКО-АНАД")</f>
        <v>ВЕЛИКО-АНАД</v>
      </c>
      <c r="Q390">
        <f ca="1">IFERROR(__xludf.DUMMYFUNCTION("""COMPUTED_VALUE"""),35780)</f>
        <v>35780</v>
      </c>
      <c r="R390" t="str">
        <f ca="1">IFERROR(__xludf.DUMMYFUNCTION("""COMPUTED_VALUE"""),"ЛУЦК")</f>
        <v>ЛУЦК</v>
      </c>
      <c r="S390" t="str">
        <f ca="1">IFERROR(__xludf.DUMMYFUNCTION("""COMPUTED_VALUE"""),"24.07.21 19-30")</f>
        <v>24.07.21 19-30</v>
      </c>
      <c r="T390">
        <f ca="1">IFERROR(__xludf.DUMMYFUNCTION("""COMPUTED_VALUE"""),4456)</f>
        <v>4456</v>
      </c>
      <c r="U390" t="str">
        <f ca="1">IFERROR(__xludf.DUMMYFUNCTION("""COMPUTED_VALUE"""),"24.08.2023 ТР-1")</f>
        <v>24.08.2023 ТР-1</v>
      </c>
      <c r="AA390" t="str">
        <f ca="1">IFERROR(__xludf.DUMMYFUNCTION("""COMPUTED_VALUE"""),"11-217")</f>
        <v>11-217</v>
      </c>
      <c r="AB390" t="str">
        <f ca="1">IFERROR(__xludf.DUMMYFUNCTION("""COMPUTED_VALUE"""),"40 ОД")</f>
        <v>40 ОД</v>
      </c>
      <c r="AC390" t="str">
        <f ca="1">IFERROR(__xludf.DUMMYFUNCTION("""COMPUTED_VALUE"""),"41190 ПОМОШНАЯ")</f>
        <v>41190 ПОМОШНАЯ</v>
      </c>
      <c r="AD390" t="str">
        <f ca="1">IFERROR(__xludf.DUMMYFUNCTION("""COMPUTED_VALUE"""),"16.10.20 08-00")</f>
        <v>16.10.20 08-00</v>
      </c>
      <c r="AE390" t="str">
        <f ca="1">IFERROR(__xludf.DUMMYFUNCTION("""COMPUTED_VALUE"""),"570 ИCТEК КAЛЕНДАРНЫЙ CPOК ДEПOВCКОГО PEМOНТA")</f>
        <v>570 ИCТEК КAЛЕНДАРНЫЙ CPOК ДEПOВCКОГО PEМOНТA</v>
      </c>
      <c r="AF390" t="str">
        <f ca="1">IFERROR(__xludf.DUMMYFUNCTION("""COMPUTED_VALUE"""),"40 ОД")</f>
        <v>40 ОД</v>
      </c>
      <c r="AG390" t="str">
        <f ca="1">IFERROR(__xludf.DUMMYFUNCTION("""COMPUTED_VALUE"""),"41190 ПОМОШНАЯ")</f>
        <v>41190 ПОМОШНАЯ</v>
      </c>
      <c r="AH390" t="str">
        <f ca="1">IFERROR(__xludf.DUMMYFUNCTION("""COMPUTED_VALUE"""),"25.10.20 16-00")</f>
        <v>25.10.20 16-00</v>
      </c>
      <c r="AI390" s="21">
        <f ca="1">IFERROR(__xludf.DUMMYFUNCTION("""COMPUTED_VALUE"""),44420.3583449074)</f>
        <v>44420.358344907399</v>
      </c>
    </row>
    <row r="391" spans="1:35" ht="13" x14ac:dyDescent="0.15">
      <c r="A391">
        <f ca="1">IFERROR(__xludf.DUMMYFUNCTION("""COMPUTED_VALUE"""),1726)</f>
        <v>1726</v>
      </c>
      <c r="B391" t="str">
        <f ca="1">IFERROR(__xludf.DUMMYFUNCTION("""COMPUTED_VALUE"""),"ВИК")</f>
        <v>ВИК</v>
      </c>
      <c r="C391" t="str">
        <f ca="1">IFERROR(__xludf.DUMMYFUNCTION("""COMPUTED_VALUE"""),"ВИК")</f>
        <v>ВИК</v>
      </c>
      <c r="D391">
        <f ca="1">IFERROR(__xludf.DUMMYFUNCTION("""COMPUTED_VALUE"""),24478729)</f>
        <v>24478729</v>
      </c>
      <c r="E391" t="str">
        <f ca="1">IFERROR(__xludf.DUMMYFUNCTION("""COMPUTED_VALUE"""),"20 КРЫТЫЕ")</f>
        <v>20 КРЫТЫЕ</v>
      </c>
      <c r="F391">
        <f ca="1">IFERROR(__xludf.DUMMYFUNCTION("""COMPUTED_VALUE"""),42103)</f>
        <v>42103</v>
      </c>
      <c r="G391" t="str">
        <f ca="1">IFERROR(__xludf.DUMMYFUNCTION("""COMPUTED_VALUE"""),"ВАГОНЫ ЖД СВ")</f>
        <v>ВАГОНЫ ЖД СВ</v>
      </c>
      <c r="H391">
        <f ca="1">IFERROR(__xludf.DUMMYFUNCTION("""COMPUTED_VALUE"""),0)</f>
        <v>0</v>
      </c>
      <c r="I391">
        <f ca="1">IFERROR(__xludf.DUMMYFUNCTION("""COMPUTED_VALUE"""),4026)</f>
        <v>4026</v>
      </c>
      <c r="J391" t="str">
        <f ca="1">IFERROR(__xludf.DUMMYFUNCTION("""COMPUTED_VALUE"""),"3510 (48620-089-48630) ВОЛНОВАХА - ВЕЛИКО-АНАД")</f>
        <v>3510 (48620-089-48630) ВОЛНОВАХА - ВЕЛИКО-АНАД</v>
      </c>
      <c r="K391">
        <f ca="1">IFERROR(__xludf.DUMMYFUNCTION("""COMPUTED_VALUE"""),48630)</f>
        <v>48630</v>
      </c>
      <c r="L391" t="str">
        <f ca="1">IFERROR(__xludf.DUMMYFUNCTION("""COMPUTED_VALUE"""),"ВЕЛИКО-АНАД")</f>
        <v>ВЕЛИКО-АНАД</v>
      </c>
      <c r="M391" t="str">
        <f ca="1">IFERROR(__xludf.DUMMYFUNCTION("""COMPUTED_VALUE"""),"03.08.21 22-00")</f>
        <v>03.08.21 22-00</v>
      </c>
      <c r="N391" t="str">
        <f ca="1">IFERROR(__xludf.DUMMYFUNCTION("""COMPUTED_VALUE"""),"98 ОТОТ")</f>
        <v>98 ОТОТ</v>
      </c>
      <c r="O391">
        <f ca="1">IFERROR(__xludf.DUMMYFUNCTION("""COMPUTED_VALUE"""),48630)</f>
        <v>48630</v>
      </c>
      <c r="P391" t="str">
        <f ca="1">IFERROR(__xludf.DUMMYFUNCTION("""COMPUTED_VALUE"""),"ВЕЛИКО-АНАД")</f>
        <v>ВЕЛИКО-АНАД</v>
      </c>
      <c r="Q391">
        <f ca="1">IFERROR(__xludf.DUMMYFUNCTION("""COMPUTED_VALUE"""),40510)</f>
        <v>40510</v>
      </c>
      <c r="R391" t="str">
        <f ca="1">IFERROR(__xludf.DUMMYFUNCTION("""COMPUTED_VALUE"""),"ОДЕССА-ЗАС I")</f>
        <v>ОДЕССА-ЗАС I</v>
      </c>
      <c r="S391" t="str">
        <f ca="1">IFERROR(__xludf.DUMMYFUNCTION("""COMPUTED_VALUE"""),"25.07.21 09-50")</f>
        <v>25.07.21 09-50</v>
      </c>
      <c r="T391">
        <f ca="1">IFERROR(__xludf.DUMMYFUNCTION("""COMPUTED_VALUE"""),4456)</f>
        <v>4456</v>
      </c>
      <c r="U391" t="str">
        <f ca="1">IFERROR(__xludf.DUMMYFUNCTION("""COMPUTED_VALUE"""),"28.01.2023 ДР")</f>
        <v>28.01.2023 ДР</v>
      </c>
      <c r="AA391" t="str">
        <f ca="1">IFERROR(__xludf.DUMMYFUNCTION("""COMPUTED_VALUE"""),"11-217")</f>
        <v>11-217</v>
      </c>
      <c r="AB391" t="str">
        <f ca="1">IFERROR(__xludf.DUMMYFUNCTION("""COMPUTED_VALUE"""),"40 ОД")</f>
        <v>40 ОД</v>
      </c>
      <c r="AC391" t="str">
        <f ca="1">IFERROR(__xludf.DUMMYFUNCTION("""COMPUTED_VALUE"""),"41190 ПОМОШНАЯ")</f>
        <v>41190 ПОМОШНАЯ</v>
      </c>
      <c r="AD391" t="str">
        <f ca="1">IFERROR(__xludf.DUMMYFUNCTION("""COMPUTED_VALUE"""),"24.01.21 15-00")</f>
        <v>24.01.21 15-00</v>
      </c>
      <c r="AE391" t="str">
        <f ca="1">IFERROR(__xludf.DUMMYFUNCTION("""COMPUTED_VALUE"""),"570 ИCТEК КAЛЕНДАРНЫЙ CPOК ДEПOВCКОГО PEМOНТA")</f>
        <v>570 ИCТEК КAЛЕНДАРНЫЙ CPOК ДEПOВCКОГО PEМOНТA</v>
      </c>
      <c r="AF391" t="str">
        <f ca="1">IFERROR(__xludf.DUMMYFUNCTION("""COMPUTED_VALUE"""),"40 ОД")</f>
        <v>40 ОД</v>
      </c>
      <c r="AG391" t="str">
        <f ca="1">IFERROR(__xludf.DUMMYFUNCTION("""COMPUTED_VALUE"""),"41190 ПОМОШНАЯ")</f>
        <v>41190 ПОМОШНАЯ</v>
      </c>
      <c r="AH391" t="str">
        <f ca="1">IFERROR(__xludf.DUMMYFUNCTION("""COMPUTED_VALUE"""),"28.01.21 15-00")</f>
        <v>28.01.21 15-00</v>
      </c>
      <c r="AI391" s="21">
        <f ca="1">IFERROR(__xludf.DUMMYFUNCTION("""COMPUTED_VALUE"""),44420.3583449074)</f>
        <v>44420.358344907399</v>
      </c>
    </row>
    <row r="392" spans="1:35" ht="13" x14ac:dyDescent="0.15">
      <c r="A392">
        <f ca="1">IFERROR(__xludf.DUMMYFUNCTION("""COMPUTED_VALUE"""),1727)</f>
        <v>1727</v>
      </c>
      <c r="B392" t="str">
        <f ca="1">IFERROR(__xludf.DUMMYFUNCTION("""COMPUTED_VALUE"""),"ВИК")</f>
        <v>ВИК</v>
      </c>
      <c r="C392" t="str">
        <f ca="1">IFERROR(__xludf.DUMMYFUNCTION("""COMPUTED_VALUE"""),"ВИК")</f>
        <v>ВИК</v>
      </c>
      <c r="D392">
        <f ca="1">IFERROR(__xludf.DUMMYFUNCTION("""COMPUTED_VALUE"""),24478760)</f>
        <v>24478760</v>
      </c>
      <c r="E392" t="str">
        <f ca="1">IFERROR(__xludf.DUMMYFUNCTION("""COMPUTED_VALUE"""),"20 КРЫТЫЕ")</f>
        <v>20 КРЫТЫЕ</v>
      </c>
      <c r="F392">
        <f ca="1">IFERROR(__xludf.DUMMYFUNCTION("""COMPUTED_VALUE"""),42103)</f>
        <v>42103</v>
      </c>
      <c r="G392" t="str">
        <f ca="1">IFERROR(__xludf.DUMMYFUNCTION("""COMPUTED_VALUE"""),"ВАГОНЫ ЖД СВ")</f>
        <v>ВАГОНЫ ЖД СВ</v>
      </c>
      <c r="H392">
        <f ca="1">IFERROR(__xludf.DUMMYFUNCTION("""COMPUTED_VALUE"""),0)</f>
        <v>0</v>
      </c>
      <c r="I392">
        <f ca="1">IFERROR(__xludf.DUMMYFUNCTION("""COMPUTED_VALUE"""),4149)</f>
        <v>4149</v>
      </c>
      <c r="J392" t="str">
        <f ca="1">IFERROR(__xludf.DUMMYFUNCTION("""COMPUTED_VALUE"""),"4833 (49640-038-49460)  - БАХМУТ")</f>
        <v>4833 (49640-038-49460)  - БАХМУТ</v>
      </c>
      <c r="K392">
        <f ca="1">IFERROR(__xludf.DUMMYFUNCTION("""COMPUTED_VALUE"""),49620)</f>
        <v>49620</v>
      </c>
      <c r="L392" t="str">
        <f ca="1">IFERROR(__xludf.DUMMYFUNCTION("""COMPUTED_VALUE"""),"ДЕКОНСКАЯ")</f>
        <v>ДЕКОНСКАЯ</v>
      </c>
      <c r="M392" t="str">
        <f ca="1">IFERROR(__xludf.DUMMYFUNCTION("""COMPUTED_VALUE"""),"09.08.21 12-10")</f>
        <v>09.08.21 12-10</v>
      </c>
      <c r="N392" t="str">
        <f ca="1">IFERROR(__xludf.DUMMYFUNCTION("""COMPUTED_VALUE"""),"98 ОТОТ")</f>
        <v>98 ОТОТ</v>
      </c>
      <c r="O392">
        <f ca="1">IFERROR(__xludf.DUMMYFUNCTION("""COMPUTED_VALUE"""),49620)</f>
        <v>49620</v>
      </c>
      <c r="P392" t="str">
        <f ca="1">IFERROR(__xludf.DUMMYFUNCTION("""COMPUTED_VALUE"""),"ДЕКОНСКАЯ")</f>
        <v>ДЕКОНСКАЯ</v>
      </c>
      <c r="Q392">
        <f ca="1">IFERROR(__xludf.DUMMYFUNCTION("""COMPUTED_VALUE"""),32040)</f>
        <v>32040</v>
      </c>
      <c r="R392" t="str">
        <f ca="1">IFERROR(__xludf.DUMMYFUNCTION("""COMPUTED_VALUE"""),"ГРУШКИ")</f>
        <v>ГРУШКИ</v>
      </c>
      <c r="S392" t="str">
        <f ca="1">IFERROR(__xludf.DUMMYFUNCTION("""COMPUTED_VALUE"""),"03.08.21 08-00")</f>
        <v>03.08.21 08-00</v>
      </c>
      <c r="T392">
        <f ca="1">IFERROR(__xludf.DUMMYFUNCTION("""COMPUTED_VALUE"""),4456)</f>
        <v>4456</v>
      </c>
      <c r="U392" t="str">
        <f ca="1">IFERROR(__xludf.DUMMYFUNCTION("""COMPUTED_VALUE"""),"02.12.2022 ТР-1")</f>
        <v>02.12.2022 ТР-1</v>
      </c>
      <c r="AA392" t="str">
        <f ca="1">IFERROR(__xludf.DUMMYFUNCTION("""COMPUTED_VALUE"""),"11-217")</f>
        <v>11-217</v>
      </c>
      <c r="AB392" t="str">
        <f ca="1">IFERROR(__xludf.DUMMYFUNCTION("""COMPUTED_VALUE"""),"40 ОД")</f>
        <v>40 ОД</v>
      </c>
      <c r="AC392" t="str">
        <f ca="1">IFERROR(__xludf.DUMMYFUNCTION("""COMPUTED_VALUE"""),"41190 ПОМОШНАЯ")</f>
        <v>41190 ПОМОШНАЯ</v>
      </c>
      <c r="AD392" t="str">
        <f ca="1">IFERROR(__xludf.DUMMYFUNCTION("""COMPUTED_VALUE"""),"27.11.20 13-00")</f>
        <v>27.11.20 13-00</v>
      </c>
      <c r="AE392" t="str">
        <f ca="1">IFERROR(__xludf.DUMMYFUNCTION("""COMPUTED_VALUE"""),"570 ИCТEК КAЛЕНДАРНЫЙ CPOК ДEПOВCКОГО PEМOНТA")</f>
        <v>570 ИCТEК КAЛЕНДАРНЫЙ CPOК ДEПOВCКОГО PEМOНТA</v>
      </c>
      <c r="AF392" t="str">
        <f ca="1">IFERROR(__xludf.DUMMYFUNCTION("""COMPUTED_VALUE"""),"40 ОД")</f>
        <v>40 ОД</v>
      </c>
      <c r="AG392" t="str">
        <f ca="1">IFERROR(__xludf.DUMMYFUNCTION("""COMPUTED_VALUE"""),"41190 ПОМОШНАЯ")</f>
        <v>41190 ПОМОШНАЯ</v>
      </c>
      <c r="AH392" t="str">
        <f ca="1">IFERROR(__xludf.DUMMYFUNCTION("""COMPUTED_VALUE"""),"02.12.20 18-30")</f>
        <v>02.12.20 18-30</v>
      </c>
      <c r="AI392" s="21">
        <f ca="1">IFERROR(__xludf.DUMMYFUNCTION("""COMPUTED_VALUE"""),44420.3583449074)</f>
        <v>44420.358344907399</v>
      </c>
    </row>
    <row r="393" spans="1:35" ht="13" x14ac:dyDescent="0.15">
      <c r="A393">
        <f ca="1">IFERROR(__xludf.DUMMYFUNCTION("""COMPUTED_VALUE"""),1728)</f>
        <v>1728</v>
      </c>
      <c r="B393" t="str">
        <f ca="1">IFERROR(__xludf.DUMMYFUNCTION("""COMPUTED_VALUE"""),"ВИК")</f>
        <v>ВИК</v>
      </c>
      <c r="C393" t="str">
        <f ca="1">IFERROR(__xludf.DUMMYFUNCTION("""COMPUTED_VALUE"""),"ВИК")</f>
        <v>ВИК</v>
      </c>
      <c r="D393">
        <f ca="1">IFERROR(__xludf.DUMMYFUNCTION("""COMPUTED_VALUE"""),24478844)</f>
        <v>24478844</v>
      </c>
      <c r="E393" t="str">
        <f ca="1">IFERROR(__xludf.DUMMYFUNCTION("""COMPUTED_VALUE"""),"20 КРЫТЫЕ")</f>
        <v>20 КРЫТЫЕ</v>
      </c>
      <c r="F393">
        <f ca="1">IFERROR(__xludf.DUMMYFUNCTION("""COMPUTED_VALUE"""),42103)</f>
        <v>42103</v>
      </c>
      <c r="G393" t="str">
        <f ca="1">IFERROR(__xludf.DUMMYFUNCTION("""COMPUTED_VALUE"""),"ВАГОНЫ ЖД СВ")</f>
        <v>ВАГОНЫ ЖД СВ</v>
      </c>
      <c r="H393">
        <f ca="1">IFERROR(__xludf.DUMMYFUNCTION("""COMPUTED_VALUE"""),0)</f>
        <v>0</v>
      </c>
      <c r="I393">
        <f ca="1">IFERROR(__xludf.DUMMYFUNCTION("""COMPUTED_VALUE"""),4026)</f>
        <v>4026</v>
      </c>
      <c r="J393" t="str">
        <f ca="1">IFERROR(__xludf.DUMMYFUNCTION("""COMPUTED_VALUE"""),"3510 (48620-089-48630) ВОЛНОВАХА - ВЕЛИКО-АНАД")</f>
        <v>3510 (48620-089-48630) ВОЛНОВАХА - ВЕЛИКО-АНАД</v>
      </c>
      <c r="K393">
        <f ca="1">IFERROR(__xludf.DUMMYFUNCTION("""COMPUTED_VALUE"""),48630)</f>
        <v>48630</v>
      </c>
      <c r="L393" t="str">
        <f ca="1">IFERROR(__xludf.DUMMYFUNCTION("""COMPUTED_VALUE"""),"ВЕЛИКО-АНАД")</f>
        <v>ВЕЛИКО-АНАД</v>
      </c>
      <c r="M393" t="str">
        <f ca="1">IFERROR(__xludf.DUMMYFUNCTION("""COMPUTED_VALUE"""),"03.08.21 22-00")</f>
        <v>03.08.21 22-00</v>
      </c>
      <c r="N393" t="str">
        <f ca="1">IFERROR(__xludf.DUMMYFUNCTION("""COMPUTED_VALUE"""),"98 ОТОТ")</f>
        <v>98 ОТОТ</v>
      </c>
      <c r="O393">
        <f ca="1">IFERROR(__xludf.DUMMYFUNCTION("""COMPUTED_VALUE"""),48630)</f>
        <v>48630</v>
      </c>
      <c r="P393" t="str">
        <f ca="1">IFERROR(__xludf.DUMMYFUNCTION("""COMPUTED_VALUE"""),"ВЕЛИКО-АНАД")</f>
        <v>ВЕЛИКО-АНАД</v>
      </c>
      <c r="Q393">
        <f ca="1">IFERROR(__xludf.DUMMYFUNCTION("""COMPUTED_VALUE"""),46700)</f>
        <v>46700</v>
      </c>
      <c r="R393" t="str">
        <f ca="1">IFERROR(__xludf.DUMMYFUNCTION("""COMPUTED_VALUE"""),"КРИВ.РОГ-ГЛА")</f>
        <v>КРИВ.РОГ-ГЛА</v>
      </c>
      <c r="S393" t="str">
        <f ca="1">IFERROR(__xludf.DUMMYFUNCTION("""COMPUTED_VALUE"""),"29.07.21 19-30")</f>
        <v>29.07.21 19-30</v>
      </c>
      <c r="T393">
        <f ca="1">IFERROR(__xludf.DUMMYFUNCTION("""COMPUTED_VALUE"""),7932)</f>
        <v>7932</v>
      </c>
      <c r="U393" t="str">
        <f ca="1">IFERROR(__xludf.DUMMYFUNCTION("""COMPUTED_VALUE"""),"12.01.2023 ДР")</f>
        <v>12.01.2023 ДР</v>
      </c>
      <c r="AA393" t="str">
        <f ca="1">IFERROR(__xludf.DUMMYFUNCTION("""COMPUTED_VALUE"""),"11-217")</f>
        <v>11-217</v>
      </c>
      <c r="AB393" t="str">
        <f ca="1">IFERROR(__xludf.DUMMYFUNCTION("""COMPUTED_VALUE"""),"40 ОД")</f>
        <v>40 ОД</v>
      </c>
      <c r="AC393" t="str">
        <f ca="1">IFERROR(__xludf.DUMMYFUNCTION("""COMPUTED_VALUE"""),"41190 ПОМОШНАЯ")</f>
        <v>41190 ПОМОШНАЯ</v>
      </c>
      <c r="AD393" t="str">
        <f ca="1">IFERROR(__xludf.DUMMYFUNCTION("""COMPUTED_VALUE"""),"02.01.21 09-00")</f>
        <v>02.01.21 09-00</v>
      </c>
      <c r="AE393" t="str">
        <f ca="1">IFERROR(__xludf.DUMMYFUNCTION("""COMPUTED_VALUE"""),"570 ИCТEК КAЛЕНДАРНЫЙ CPOК ДEПOВCКОГО PEМOНТA")</f>
        <v>570 ИCТEК КAЛЕНДАРНЫЙ CPOК ДEПOВCКОГО PEМOНТA</v>
      </c>
      <c r="AF393" t="str">
        <f ca="1">IFERROR(__xludf.DUMMYFUNCTION("""COMPUTED_VALUE"""),"40 ОД")</f>
        <v>40 ОД</v>
      </c>
      <c r="AG393" t="str">
        <f ca="1">IFERROR(__xludf.DUMMYFUNCTION("""COMPUTED_VALUE"""),"41190 ПОМОШНАЯ")</f>
        <v>41190 ПОМОШНАЯ</v>
      </c>
      <c r="AH393" t="str">
        <f ca="1">IFERROR(__xludf.DUMMYFUNCTION("""COMPUTED_VALUE"""),"12.01.21 14-30")</f>
        <v>12.01.21 14-30</v>
      </c>
      <c r="AI393" s="21">
        <f ca="1">IFERROR(__xludf.DUMMYFUNCTION("""COMPUTED_VALUE"""),44420.3583449074)</f>
        <v>44420.358344907399</v>
      </c>
    </row>
    <row r="394" spans="1:35" ht="13" x14ac:dyDescent="0.15">
      <c r="A394">
        <f ca="1">IFERROR(__xludf.DUMMYFUNCTION("""COMPUTED_VALUE"""),1729)</f>
        <v>1729</v>
      </c>
      <c r="B394" t="str">
        <f ca="1">IFERROR(__xludf.DUMMYFUNCTION("""COMPUTED_VALUE"""),"ВИК")</f>
        <v>ВИК</v>
      </c>
      <c r="C394" t="str">
        <f ca="1">IFERROR(__xludf.DUMMYFUNCTION("""COMPUTED_VALUE"""),"ВИК")</f>
        <v>ВИК</v>
      </c>
      <c r="D394">
        <f ca="1">IFERROR(__xludf.DUMMYFUNCTION("""COMPUTED_VALUE"""),24478851)</f>
        <v>24478851</v>
      </c>
      <c r="E394" t="str">
        <f ca="1">IFERROR(__xludf.DUMMYFUNCTION("""COMPUTED_VALUE"""),"20 КРЫТЫЕ")</f>
        <v>20 КРЫТЫЕ</v>
      </c>
      <c r="F394">
        <f ca="1">IFERROR(__xludf.DUMMYFUNCTION("""COMPUTED_VALUE"""),23304)</f>
        <v>23304</v>
      </c>
      <c r="G394" t="str">
        <f ca="1">IFERROR(__xludf.DUMMYFUNCTION("""COMPUTED_VALUE"""),"ГИПС ПР")</f>
        <v>ГИПС ПР</v>
      </c>
      <c r="H394">
        <f ca="1">IFERROR(__xludf.DUMMYFUNCTION("""COMPUTED_VALUE"""),68)</f>
        <v>68</v>
      </c>
      <c r="I394">
        <f ca="1">IFERROR(__xludf.DUMMYFUNCTION("""COMPUTED_VALUE"""),3314)</f>
        <v>3314</v>
      </c>
      <c r="J394" t="str">
        <f ca="1">IFERROR(__xludf.DUMMYFUNCTION("""COMPUTED_VALUE"""),"2723 (44020-120-32000) ОСНОВА - ДАРНИЦА")</f>
        <v>2723 (44020-120-32000) ОСНОВА - ДАРНИЦА</v>
      </c>
      <c r="K394">
        <f ca="1">IFERROR(__xludf.DUMMYFUNCTION("""COMPUTED_VALUE"""),32000)</f>
        <v>32000</v>
      </c>
      <c r="L394" t="str">
        <f ca="1">IFERROR(__xludf.DUMMYFUNCTION("""COMPUTED_VALUE"""),"ДАРНИЦА")</f>
        <v>ДАРНИЦА</v>
      </c>
      <c r="M394" t="str">
        <f ca="1">IFERROR(__xludf.DUMMYFUNCTION("""COMPUTED_VALUE"""),"12.08.21 05-01")</f>
        <v>12.08.21 05-01</v>
      </c>
      <c r="N394" t="str">
        <f ca="1">IFERROR(__xludf.DUMMYFUNCTION("""COMPUTED_VALUE"""),"04 РАСФ")</f>
        <v>04 РАСФ</v>
      </c>
      <c r="O394">
        <f ca="1">IFERROR(__xludf.DUMMYFUNCTION("""COMPUTED_VALUE"""),32040)</f>
        <v>32040</v>
      </c>
      <c r="P394" t="str">
        <f ca="1">IFERROR(__xludf.DUMMYFUNCTION("""COMPUTED_VALUE"""),"ГРУШКИ")</f>
        <v>ГРУШКИ</v>
      </c>
      <c r="Q394">
        <f ca="1">IFERROR(__xludf.DUMMYFUNCTION("""COMPUTED_VALUE"""),49620)</f>
        <v>49620</v>
      </c>
      <c r="R394" t="str">
        <f ca="1">IFERROR(__xludf.DUMMYFUNCTION("""COMPUTED_VALUE"""),"ДЕКОНСКАЯ")</f>
        <v>ДЕКОНСКАЯ</v>
      </c>
      <c r="S394" t="str">
        <f ca="1">IFERROR(__xludf.DUMMYFUNCTION("""COMPUTED_VALUE"""),"07.08.21 21-30")</f>
        <v>07.08.21 21-30</v>
      </c>
      <c r="T394">
        <f ca="1">IFERROR(__xludf.DUMMYFUNCTION("""COMPUTED_VALUE"""),4149)</f>
        <v>4149</v>
      </c>
      <c r="U394" t="str">
        <f ca="1">IFERROR(__xludf.DUMMYFUNCTION("""COMPUTED_VALUE"""),"22.02.2023 ТР-1")</f>
        <v>22.02.2023 ТР-1</v>
      </c>
      <c r="AA394" t="str">
        <f ca="1">IFERROR(__xludf.DUMMYFUNCTION("""COMPUTED_VALUE"""),"11-217")</f>
        <v>11-217</v>
      </c>
      <c r="AB394" t="str">
        <f ca="1">IFERROR(__xludf.DUMMYFUNCTION("""COMPUTED_VALUE"""),"40 ОД")</f>
        <v>40 ОД</v>
      </c>
      <c r="AC394" t="str">
        <f ca="1">IFERROR(__xludf.DUMMYFUNCTION("""COMPUTED_VALUE"""),"41190 ПОМОШНАЯ")</f>
        <v>41190 ПОМОШНАЯ</v>
      </c>
      <c r="AD394" t="str">
        <f ca="1">IFERROR(__xludf.DUMMYFUNCTION("""COMPUTED_VALUE"""),"17.01.21 10-50")</f>
        <v>17.01.21 10-50</v>
      </c>
      <c r="AE394" t="str">
        <f ca="1">IFERROR(__xludf.DUMMYFUNCTION("""COMPUTED_VALUE"""),"570 ИCТEК КAЛЕНДАРНЫЙ CPOК ДEПOВCКОГО PEМOНТA")</f>
        <v>570 ИCТEК КAЛЕНДАРНЫЙ CPOК ДEПOВCКОГО PEМOНТA</v>
      </c>
      <c r="AF394" t="str">
        <f ca="1">IFERROR(__xludf.DUMMYFUNCTION("""COMPUTED_VALUE"""),"40 ОД")</f>
        <v>40 ОД</v>
      </c>
      <c r="AG394" t="str">
        <f ca="1">IFERROR(__xludf.DUMMYFUNCTION("""COMPUTED_VALUE"""),"41190 ПОМОШНАЯ")</f>
        <v>41190 ПОМОШНАЯ</v>
      </c>
      <c r="AH394" t="str">
        <f ca="1">IFERROR(__xludf.DUMMYFUNCTION("""COMPUTED_VALUE"""),"30.03.21 17-30")</f>
        <v>30.03.21 17-30</v>
      </c>
      <c r="AI394" s="21">
        <f ca="1">IFERROR(__xludf.DUMMYFUNCTION("""COMPUTED_VALUE"""),44420.3583449074)</f>
        <v>44420.358344907399</v>
      </c>
    </row>
    <row r="395" spans="1:35" ht="13" x14ac:dyDescent="0.15">
      <c r="A395">
        <f ca="1">IFERROR(__xludf.DUMMYFUNCTION("""COMPUTED_VALUE"""),1730)</f>
        <v>1730</v>
      </c>
      <c r="B395" t="str">
        <f ca="1">IFERROR(__xludf.DUMMYFUNCTION("""COMPUTED_VALUE"""),"ВИК")</f>
        <v>ВИК</v>
      </c>
      <c r="C395" t="str">
        <f ca="1">IFERROR(__xludf.DUMMYFUNCTION("""COMPUTED_VALUE"""),"ВИК")</f>
        <v>ВИК</v>
      </c>
      <c r="D395">
        <f ca="1">IFERROR(__xludf.DUMMYFUNCTION("""COMPUTED_VALUE"""),24478869)</f>
        <v>24478869</v>
      </c>
      <c r="E395" t="str">
        <f ca="1">IFERROR(__xludf.DUMMYFUNCTION("""COMPUTED_VALUE"""),"20 КРЫТЫЕ")</f>
        <v>20 КРЫТЫЕ</v>
      </c>
      <c r="F395">
        <f ca="1">IFERROR(__xludf.DUMMYFUNCTION("""COMPUTED_VALUE"""),23304)</f>
        <v>23304</v>
      </c>
      <c r="G395" t="str">
        <f ca="1">IFERROR(__xludf.DUMMYFUNCTION("""COMPUTED_VALUE"""),"ГИПС ПР")</f>
        <v>ГИПС ПР</v>
      </c>
      <c r="H395">
        <f ca="1">IFERROR(__xludf.DUMMYFUNCTION("""COMPUTED_VALUE"""),68)</f>
        <v>68</v>
      </c>
      <c r="I395">
        <f ca="1">IFERROR(__xludf.DUMMYFUNCTION("""COMPUTED_VALUE"""),1658)</f>
        <v>1658</v>
      </c>
      <c r="J395" t="str">
        <f ca="1">IFERROR(__xludf.DUMMYFUNCTION("""COMPUTED_VALUE"""),"2727 (44020-209-32000) ОСНОВА - ДАРНИЦА")</f>
        <v>2727 (44020-209-32000) ОСНОВА - ДАРНИЦА</v>
      </c>
      <c r="K395">
        <f ca="1">IFERROR(__xludf.DUMMYFUNCTION("""COMPUTED_VALUE"""),32250)</f>
        <v>32250</v>
      </c>
      <c r="L395" t="str">
        <f ca="1">IFERROR(__xludf.DUMMYFUNCTION("""COMPUTED_VALUE"""),"ИМ.Г.КИРПЫ")</f>
        <v>ИМ.Г.КИРПЫ</v>
      </c>
      <c r="M395" t="str">
        <f ca="1">IFERROR(__xludf.DUMMYFUNCTION("""COMPUTED_VALUE"""),"11.08.21 15-01")</f>
        <v>11.08.21 15-01</v>
      </c>
      <c r="N395" t="str">
        <f ca="1">IFERROR(__xludf.DUMMYFUNCTION("""COMPUTED_VALUE"""),"01 ПРИБ")</f>
        <v>01 ПРИБ</v>
      </c>
      <c r="O395">
        <f ca="1">IFERROR(__xludf.DUMMYFUNCTION("""COMPUTED_VALUE"""),32060)</f>
        <v>32060</v>
      </c>
      <c r="P395" t="str">
        <f ca="1">IFERROR(__xludf.DUMMYFUNCTION("""COMPUTED_VALUE"""),"ПОЧАЙНА")</f>
        <v>ПОЧАЙНА</v>
      </c>
      <c r="Q395">
        <f ca="1">IFERROR(__xludf.DUMMYFUNCTION("""COMPUTED_VALUE"""),49620)</f>
        <v>49620</v>
      </c>
      <c r="R395" t="str">
        <f ca="1">IFERROR(__xludf.DUMMYFUNCTION("""COMPUTED_VALUE"""),"ДЕКОНСКАЯ")</f>
        <v>ДЕКОНСКАЯ</v>
      </c>
      <c r="S395" t="str">
        <f ca="1">IFERROR(__xludf.DUMMYFUNCTION("""COMPUTED_VALUE"""),"07.08.21 09-00")</f>
        <v>07.08.21 09-00</v>
      </c>
      <c r="T395">
        <f ca="1">IFERROR(__xludf.DUMMYFUNCTION("""COMPUTED_VALUE"""),4149)</f>
        <v>4149</v>
      </c>
      <c r="U395" t="str">
        <f ca="1">IFERROR(__xludf.DUMMYFUNCTION("""COMPUTED_VALUE"""),"23.12.2022 ДР")</f>
        <v>23.12.2022 ДР</v>
      </c>
      <c r="AA395" t="str">
        <f ca="1">IFERROR(__xludf.DUMMYFUNCTION("""COMPUTED_VALUE"""),"11-217")</f>
        <v>11-217</v>
      </c>
      <c r="AB395" t="str">
        <f ca="1">IFERROR(__xludf.DUMMYFUNCTION("""COMPUTED_VALUE"""),"48 ДОН")</f>
        <v>48 ДОН</v>
      </c>
      <c r="AC395" t="str">
        <f ca="1">IFERROR(__xludf.DUMMYFUNCTION("""COMPUTED_VALUE"""),"49480 СОЛЬ")</f>
        <v>49480 СОЛЬ</v>
      </c>
      <c r="AD395" t="str">
        <f ca="1">IFERROR(__xludf.DUMMYFUNCTION("""COMPUTED_VALUE"""),"19.05.21 23-20")</f>
        <v>19.05.21 23-20</v>
      </c>
      <c r="AE395" t="str">
        <f ca="1">IFERROR(__xludf.DUMMYFUNCTION("""COMPUTED_VALUE"""),"537 НEИCПPAВНOCТЬ ЗAПOPA ДВEPИ")</f>
        <v>537 НEИCПPAВНOCТЬ ЗAПOPA ДВEPИ</v>
      </c>
      <c r="AF395" t="str">
        <f ca="1">IFERROR(__xludf.DUMMYFUNCTION("""COMPUTED_VALUE"""),"48 ДОН")</f>
        <v>48 ДОН</v>
      </c>
      <c r="AG395" t="str">
        <f ca="1">IFERROR(__xludf.DUMMYFUNCTION("""COMPUTED_VALUE"""),"49480 СОЛЬ")</f>
        <v>49480 СОЛЬ</v>
      </c>
      <c r="AH395" t="str">
        <f ca="1">IFERROR(__xludf.DUMMYFUNCTION("""COMPUTED_VALUE"""),"21.05.21 16-30")</f>
        <v>21.05.21 16-30</v>
      </c>
      <c r="AI395" s="21">
        <f ca="1">IFERROR(__xludf.DUMMYFUNCTION("""COMPUTED_VALUE"""),44420.3583449074)</f>
        <v>44420.358344907399</v>
      </c>
    </row>
    <row r="396" spans="1:35" ht="13" x14ac:dyDescent="0.15">
      <c r="A396">
        <f ca="1">IFERROR(__xludf.DUMMYFUNCTION("""COMPUTED_VALUE"""),1731)</f>
        <v>1731</v>
      </c>
      <c r="B396" t="str">
        <f ca="1">IFERROR(__xludf.DUMMYFUNCTION("""COMPUTED_VALUE"""),"ВИК")</f>
        <v>ВИК</v>
      </c>
      <c r="C396" t="str">
        <f ca="1">IFERROR(__xludf.DUMMYFUNCTION("""COMPUTED_VALUE"""),"ВИК")</f>
        <v>ВИК</v>
      </c>
      <c r="D396">
        <f ca="1">IFERROR(__xludf.DUMMYFUNCTION("""COMPUTED_VALUE"""),24478950)</f>
        <v>24478950</v>
      </c>
      <c r="E396" t="str">
        <f ca="1">IFERROR(__xludf.DUMMYFUNCTION("""COMPUTED_VALUE"""),"20 КРЫТЫЕ")</f>
        <v>20 КРЫТЫЕ</v>
      </c>
      <c r="F396">
        <f ca="1">IFERROR(__xludf.DUMMYFUNCTION("""COMPUTED_VALUE"""),42103)</f>
        <v>42103</v>
      </c>
      <c r="G396" t="str">
        <f ca="1">IFERROR(__xludf.DUMMYFUNCTION("""COMPUTED_VALUE"""),"ВАГОНЫ ЖД СВ")</f>
        <v>ВАГОНЫ ЖД СВ</v>
      </c>
      <c r="H396">
        <f ca="1">IFERROR(__xludf.DUMMYFUNCTION("""COMPUTED_VALUE"""),0)</f>
        <v>0</v>
      </c>
      <c r="I396">
        <f ca="1">IFERROR(__xludf.DUMMYFUNCTION("""COMPUTED_VALUE"""),4149)</f>
        <v>4149</v>
      </c>
      <c r="J396" t="str">
        <f ca="1">IFERROR(__xludf.DUMMYFUNCTION("""COMPUTED_VALUE"""),"3802 (49640-069-49620)  - ДЕКОНСКАЯ")</f>
        <v>3802 (49640-069-49620)  - ДЕКОНСКАЯ</v>
      </c>
      <c r="K396">
        <f ca="1">IFERROR(__xludf.DUMMYFUNCTION("""COMPUTED_VALUE"""),49620)</f>
        <v>49620</v>
      </c>
      <c r="L396" t="str">
        <f ca="1">IFERROR(__xludf.DUMMYFUNCTION("""COMPUTED_VALUE"""),"ДЕКОНСКАЯ")</f>
        <v>ДЕКОНСКАЯ</v>
      </c>
      <c r="M396" t="str">
        <f ca="1">IFERROR(__xludf.DUMMYFUNCTION("""COMPUTED_VALUE"""),"11.08.21 04-43")</f>
        <v>11.08.21 04-43</v>
      </c>
      <c r="N396" t="str">
        <f ca="1">IFERROR(__xludf.DUMMYFUNCTION("""COMPUTED_VALUE"""),"98 ОТОТ")</f>
        <v>98 ОТОТ</v>
      </c>
      <c r="O396">
        <f ca="1">IFERROR(__xludf.DUMMYFUNCTION("""COMPUTED_VALUE"""),49620)</f>
        <v>49620</v>
      </c>
      <c r="P396" t="str">
        <f ca="1">IFERROR(__xludf.DUMMYFUNCTION("""COMPUTED_VALUE"""),"ДЕКОНСКАЯ")</f>
        <v>ДЕКОНСКАЯ</v>
      </c>
      <c r="Q396">
        <f ca="1">IFERROR(__xludf.DUMMYFUNCTION("""COMPUTED_VALUE"""),38840)</f>
        <v>38840</v>
      </c>
      <c r="R396" t="str">
        <f ca="1">IFERROR(__xludf.DUMMYFUNCTION("""COMPUTED_VALUE"""),"ИВАНО-ФРАНК")</f>
        <v>ИВАНО-ФРАНК</v>
      </c>
      <c r="S396" t="str">
        <f ca="1">IFERROR(__xludf.DUMMYFUNCTION("""COMPUTED_VALUE"""),"04.08.21 17-35")</f>
        <v>04.08.21 17-35</v>
      </c>
      <c r="T396">
        <f ca="1">IFERROR(__xludf.DUMMYFUNCTION("""COMPUTED_VALUE"""),4456)</f>
        <v>4456</v>
      </c>
      <c r="U396" t="str">
        <f ca="1">IFERROR(__xludf.DUMMYFUNCTION("""COMPUTED_VALUE"""),"16.01.2023 ТР-1")</f>
        <v>16.01.2023 ТР-1</v>
      </c>
      <c r="AA396" t="str">
        <f ca="1">IFERROR(__xludf.DUMMYFUNCTION("""COMPUTED_VALUE"""),"11-217")</f>
        <v>11-217</v>
      </c>
      <c r="AB396" t="str">
        <f ca="1">IFERROR(__xludf.DUMMYFUNCTION("""COMPUTED_VALUE"""),"40 ОД")</f>
        <v>40 ОД</v>
      </c>
      <c r="AC396" t="str">
        <f ca="1">IFERROR(__xludf.DUMMYFUNCTION("""COMPUTED_VALUE"""),"41190 ПОМОШНАЯ")</f>
        <v>41190 ПОМОШНАЯ</v>
      </c>
      <c r="AD396" t="str">
        <f ca="1">IFERROR(__xludf.DUMMYFUNCTION("""COMPUTED_VALUE"""),"12.01.21 08-00")</f>
        <v>12.01.21 08-00</v>
      </c>
      <c r="AE396" t="str">
        <f ca="1">IFERROR(__xludf.DUMMYFUNCTION("""COMPUTED_VALUE"""),"570 ИCТEК КAЛЕНДАРНЫЙ CPOК ДEПOВCКОГО PEМOНТA")</f>
        <v>570 ИCТEК КAЛЕНДАРНЫЙ CPOК ДEПOВCКОГО PEМOНТA</v>
      </c>
      <c r="AF396" t="str">
        <f ca="1">IFERROR(__xludf.DUMMYFUNCTION("""COMPUTED_VALUE"""),"40 ОД")</f>
        <v>40 ОД</v>
      </c>
      <c r="AG396" t="str">
        <f ca="1">IFERROR(__xludf.DUMMYFUNCTION("""COMPUTED_VALUE"""),"41190 ПОМОШНАЯ")</f>
        <v>41190 ПОМОШНАЯ</v>
      </c>
      <c r="AH396" t="str">
        <f ca="1">IFERROR(__xludf.DUMMYFUNCTION("""COMPUTED_VALUE"""),"28.01.21 15-00")</f>
        <v>28.01.21 15-00</v>
      </c>
      <c r="AI396" s="21">
        <f ca="1">IFERROR(__xludf.DUMMYFUNCTION("""COMPUTED_VALUE"""),44420.3583449074)</f>
        <v>44420.358344907399</v>
      </c>
    </row>
    <row r="397" spans="1:35" ht="13" x14ac:dyDescent="0.15">
      <c r="A397">
        <f ca="1">IFERROR(__xludf.DUMMYFUNCTION("""COMPUTED_VALUE"""),1732)</f>
        <v>1732</v>
      </c>
      <c r="B397" t="str">
        <f ca="1">IFERROR(__xludf.DUMMYFUNCTION("""COMPUTED_VALUE"""),"ВИК")</f>
        <v>ВИК</v>
      </c>
      <c r="C397" t="str">
        <f ca="1">IFERROR(__xludf.DUMMYFUNCTION("""COMPUTED_VALUE"""),"ВИК")</f>
        <v>ВИК</v>
      </c>
      <c r="D397">
        <f ca="1">IFERROR(__xludf.DUMMYFUNCTION("""COMPUTED_VALUE"""),24479032)</f>
        <v>24479032</v>
      </c>
      <c r="E397" t="str">
        <f ca="1">IFERROR(__xludf.DUMMYFUNCTION("""COMPUTED_VALUE"""),"20 КРЫТЫЕ")</f>
        <v>20 КРЫТЫЕ</v>
      </c>
      <c r="F397">
        <f ca="1">IFERROR(__xludf.DUMMYFUNCTION("""COMPUTED_VALUE"""),23304)</f>
        <v>23304</v>
      </c>
      <c r="G397" t="str">
        <f ca="1">IFERROR(__xludf.DUMMYFUNCTION("""COMPUTED_VALUE"""),"ГИПС ПР")</f>
        <v>ГИПС ПР</v>
      </c>
      <c r="H397">
        <f ca="1">IFERROR(__xludf.DUMMYFUNCTION("""COMPUTED_VALUE"""),68)</f>
        <v>68</v>
      </c>
      <c r="I397">
        <f ca="1">IFERROR(__xludf.DUMMYFUNCTION("""COMPUTED_VALUE"""),2567)</f>
        <v>2567</v>
      </c>
      <c r="J397" t="str">
        <f ca="1">IFERROR(__xludf.DUMMYFUNCTION("""COMPUTED_VALUE"""),"2001 (49000-775-45000) ЛИМАН - НИЖНЕДН-УЗЕЛ")</f>
        <v>2001 (49000-775-45000) ЛИМАН - НИЖНЕДН-УЗЕЛ</v>
      </c>
      <c r="K397">
        <f ca="1">IFERROR(__xludf.DUMMYFUNCTION("""COMPUTED_VALUE"""),49000)</f>
        <v>49000</v>
      </c>
      <c r="L397" t="str">
        <f ca="1">IFERROR(__xludf.DUMMYFUNCTION("""COMPUTED_VALUE"""),"ЛИМАН")</f>
        <v>ЛИМАН</v>
      </c>
      <c r="M397" t="str">
        <f ca="1">IFERROR(__xludf.DUMMYFUNCTION("""COMPUTED_VALUE"""),"12.08.21 00-58")</f>
        <v>12.08.21 00-58</v>
      </c>
      <c r="N397" t="str">
        <f ca="1">IFERROR(__xludf.DUMMYFUNCTION("""COMPUTED_VALUE"""),"05 ФОРМ")</f>
        <v>05 ФОРМ</v>
      </c>
      <c r="O397">
        <f ca="1">IFERROR(__xludf.DUMMYFUNCTION("""COMPUTED_VALUE"""),40510)</f>
        <v>40510</v>
      </c>
      <c r="P397" t="str">
        <f ca="1">IFERROR(__xludf.DUMMYFUNCTION("""COMPUTED_VALUE"""),"ОДЕССА-ЗАС I")</f>
        <v>ОДЕССА-ЗАС I</v>
      </c>
      <c r="Q397">
        <f ca="1">IFERROR(__xludf.DUMMYFUNCTION("""COMPUTED_VALUE"""),49620)</f>
        <v>49620</v>
      </c>
      <c r="R397" t="str">
        <f ca="1">IFERROR(__xludf.DUMMYFUNCTION("""COMPUTED_VALUE"""),"ДЕКОНСКАЯ")</f>
        <v>ДЕКОНСКАЯ</v>
      </c>
      <c r="S397" t="str">
        <f ca="1">IFERROR(__xludf.DUMMYFUNCTION("""COMPUTED_VALUE"""),"10.08.21 21-00")</f>
        <v>10.08.21 21-00</v>
      </c>
      <c r="T397">
        <f ca="1">IFERROR(__xludf.DUMMYFUNCTION("""COMPUTED_VALUE"""),4149)</f>
        <v>4149</v>
      </c>
      <c r="U397" t="str">
        <f ca="1">IFERROR(__xludf.DUMMYFUNCTION("""COMPUTED_VALUE"""),"23.12.2022 ДР")</f>
        <v>23.12.2022 ДР</v>
      </c>
      <c r="AA397" t="str">
        <f ca="1">IFERROR(__xludf.DUMMYFUNCTION("""COMPUTED_VALUE"""),"11-217")</f>
        <v>11-217</v>
      </c>
      <c r="AB397" t="str">
        <f ca="1">IFERROR(__xludf.DUMMYFUNCTION("""COMPUTED_VALUE"""),"40 ОД")</f>
        <v>40 ОД</v>
      </c>
      <c r="AC397" t="str">
        <f ca="1">IFERROR(__xludf.DUMMYFUNCTION("""COMPUTED_VALUE"""),"41190 ПОМОШНАЯ")</f>
        <v>41190 ПОМОШНАЯ</v>
      </c>
      <c r="AD397" t="str">
        <f ca="1">IFERROR(__xludf.DUMMYFUNCTION("""COMPUTED_VALUE"""),"21.12.20 08-00")</f>
        <v>21.12.20 08-00</v>
      </c>
      <c r="AE397" t="str">
        <f ca="1">IFERROR(__xludf.DUMMYFUNCTION("""COMPUTED_VALUE"""),"570 ИCТEК КAЛЕНДАРНЫЙ CPOК ДEПOВCКОГО PEМOНТA")</f>
        <v>570 ИCТEК КAЛЕНДАРНЫЙ CPOК ДEПOВCКОГО PEМOНТA</v>
      </c>
      <c r="AF397" t="str">
        <f ca="1">IFERROR(__xludf.DUMMYFUNCTION("""COMPUTED_VALUE"""),"40 ОД")</f>
        <v>40 ОД</v>
      </c>
      <c r="AG397" t="str">
        <f ca="1">IFERROR(__xludf.DUMMYFUNCTION("""COMPUTED_VALUE"""),"41190 ПОМОШНАЯ")</f>
        <v>41190 ПОМОШНАЯ</v>
      </c>
      <c r="AH397" t="str">
        <f ca="1">IFERROR(__xludf.DUMMYFUNCTION("""COMPUTED_VALUE"""),"23.12.20 13-00")</f>
        <v>23.12.20 13-00</v>
      </c>
      <c r="AI397" s="21">
        <f ca="1">IFERROR(__xludf.DUMMYFUNCTION("""COMPUTED_VALUE"""),44420.3583449074)</f>
        <v>44420.358344907399</v>
      </c>
    </row>
    <row r="398" spans="1:35" ht="13" x14ac:dyDescent="0.15">
      <c r="A398">
        <f ca="1">IFERROR(__xludf.DUMMYFUNCTION("""COMPUTED_VALUE"""),1733)</f>
        <v>1733</v>
      </c>
      <c r="B398" t="str">
        <f ca="1">IFERROR(__xludf.DUMMYFUNCTION("""COMPUTED_VALUE"""),"ВИК")</f>
        <v>ВИК</v>
      </c>
      <c r="C398" t="str">
        <f ca="1">IFERROR(__xludf.DUMMYFUNCTION("""COMPUTED_VALUE"""),"ВИК")</f>
        <v>ВИК</v>
      </c>
      <c r="D398">
        <f ca="1">IFERROR(__xludf.DUMMYFUNCTION("""COMPUTED_VALUE"""),24479040)</f>
        <v>24479040</v>
      </c>
      <c r="E398" t="str">
        <f ca="1">IFERROR(__xludf.DUMMYFUNCTION("""COMPUTED_VALUE"""),"20 КРЫТЫЕ")</f>
        <v>20 КРЫТЫЕ</v>
      </c>
      <c r="F398">
        <f ca="1">IFERROR(__xludf.DUMMYFUNCTION("""COMPUTED_VALUE"""),42103)</f>
        <v>42103</v>
      </c>
      <c r="G398" t="str">
        <f ca="1">IFERROR(__xludf.DUMMYFUNCTION("""COMPUTED_VALUE"""),"ВАГОНЫ ЖД СВ")</f>
        <v>ВАГОНЫ ЖД СВ</v>
      </c>
      <c r="H398">
        <f ca="1">IFERROR(__xludf.DUMMYFUNCTION("""COMPUTED_VALUE"""),0)</f>
        <v>0</v>
      </c>
      <c r="I398">
        <f ca="1">IFERROR(__xludf.DUMMYFUNCTION("""COMPUTED_VALUE"""),4149)</f>
        <v>4149</v>
      </c>
      <c r="J398" t="str">
        <f ca="1">IFERROR(__xludf.DUMMYFUNCTION("""COMPUTED_VALUE"""),"2802 (41000-537-45000) ЗНАМЕНКА - НИЖНЕДН-УЗЕЛ")</f>
        <v>2802 (41000-537-45000) ЗНАМЕНКА - НИЖНЕДН-УЗЕЛ</v>
      </c>
      <c r="K398">
        <f ca="1">IFERROR(__xludf.DUMMYFUNCTION("""COMPUTED_VALUE"""),45000)</f>
        <v>45000</v>
      </c>
      <c r="L398" t="str">
        <f ca="1">IFERROR(__xludf.DUMMYFUNCTION("""COMPUTED_VALUE"""),"НИЖНЕДН-УЗЕЛ")</f>
        <v>НИЖНЕДН-УЗЕЛ</v>
      </c>
      <c r="M398" t="str">
        <f ca="1">IFERROR(__xludf.DUMMYFUNCTION("""COMPUTED_VALUE"""),"12.08.21 07-01")</f>
        <v>12.08.21 07-01</v>
      </c>
      <c r="N398" t="str">
        <f ca="1">IFERROR(__xludf.DUMMYFUNCTION("""COMPUTED_VALUE"""),"01 ПРИБ")</f>
        <v>01 ПРИБ</v>
      </c>
      <c r="O398">
        <f ca="1">IFERROR(__xludf.DUMMYFUNCTION("""COMPUTED_VALUE"""),49620)</f>
        <v>49620</v>
      </c>
      <c r="P398" t="str">
        <f ca="1">IFERROR(__xludf.DUMMYFUNCTION("""COMPUTED_VALUE"""),"ДЕКОНСКАЯ")</f>
        <v>ДЕКОНСКАЯ</v>
      </c>
      <c r="Q398">
        <f ca="1">IFERROR(__xludf.DUMMYFUNCTION("""COMPUTED_VALUE"""),42420)</f>
        <v>42420</v>
      </c>
      <c r="R398" t="str">
        <f ca="1">IFERROR(__xludf.DUMMYFUNCTION("""COMPUTED_VALUE"""),"ЧЕРКАССЫ")</f>
        <v>ЧЕРКАССЫ</v>
      </c>
      <c r="S398" t="str">
        <f ca="1">IFERROR(__xludf.DUMMYFUNCTION("""COMPUTED_VALUE"""),"08.08.21 04-25")</f>
        <v>08.08.21 04-25</v>
      </c>
      <c r="T398">
        <f ca="1">IFERROR(__xludf.DUMMYFUNCTION("""COMPUTED_VALUE"""),4456)</f>
        <v>4456</v>
      </c>
      <c r="U398" t="str">
        <f ca="1">IFERROR(__xludf.DUMMYFUNCTION("""COMPUTED_VALUE"""),"24.12.2022 ДР")</f>
        <v>24.12.2022 ДР</v>
      </c>
      <c r="AA398" t="str">
        <f ca="1">IFERROR(__xludf.DUMMYFUNCTION("""COMPUTED_VALUE"""),"11-217")</f>
        <v>11-217</v>
      </c>
      <c r="AB398" t="str">
        <f ca="1">IFERROR(__xludf.DUMMYFUNCTION("""COMPUTED_VALUE"""),"40 ОД")</f>
        <v>40 ОД</v>
      </c>
      <c r="AC398" t="str">
        <f ca="1">IFERROR(__xludf.DUMMYFUNCTION("""COMPUTED_VALUE"""),"40510 ОДЕССА-ЗАС I")</f>
        <v>40510 ОДЕССА-ЗАС I</v>
      </c>
      <c r="AD398" t="str">
        <f ca="1">IFERROR(__xludf.DUMMYFUNCTION("""COMPUTED_VALUE"""),"17.04.21 12-20")</f>
        <v>17.04.21 12-20</v>
      </c>
      <c r="AE398" t="str">
        <f ca="1">IFERROR(__xludf.DUMMYFUNCTION("""COMPUTED_VALUE"""),"109 OCТPOКOНEЧНЫЙ НAКAТ ГPEБНЯ")</f>
        <v>109 OCТPOКOНEЧНЫЙ НAКAТ ГPEБНЯ</v>
      </c>
      <c r="AF398" t="str">
        <f ca="1">IFERROR(__xludf.DUMMYFUNCTION("""COMPUTED_VALUE"""),"40 ОД")</f>
        <v>40 ОД</v>
      </c>
      <c r="AG398" t="str">
        <f ca="1">IFERROR(__xludf.DUMMYFUNCTION("""COMPUTED_VALUE"""),"40510 ОДЕССА-ЗАС I")</f>
        <v>40510 ОДЕССА-ЗАС I</v>
      </c>
      <c r="AH398" t="str">
        <f ca="1">IFERROR(__xludf.DUMMYFUNCTION("""COMPUTED_VALUE"""),"26.04.21 14-45")</f>
        <v>26.04.21 14-45</v>
      </c>
      <c r="AI398" s="21">
        <f ca="1">IFERROR(__xludf.DUMMYFUNCTION("""COMPUTED_VALUE"""),44420.3583449074)</f>
        <v>44420.358344907399</v>
      </c>
    </row>
    <row r="399" spans="1:35" ht="13" x14ac:dyDescent="0.15">
      <c r="A399">
        <f ca="1">IFERROR(__xludf.DUMMYFUNCTION("""COMPUTED_VALUE"""),1734)</f>
        <v>1734</v>
      </c>
      <c r="B399" t="str">
        <f ca="1">IFERROR(__xludf.DUMMYFUNCTION("""COMPUTED_VALUE"""),"ВИК")</f>
        <v>ВИК</v>
      </c>
      <c r="C399" t="str">
        <f ca="1">IFERROR(__xludf.DUMMYFUNCTION("""COMPUTED_VALUE"""),"ВИК")</f>
        <v>ВИК</v>
      </c>
      <c r="D399">
        <f ca="1">IFERROR(__xludf.DUMMYFUNCTION("""COMPUTED_VALUE"""),24479057)</f>
        <v>24479057</v>
      </c>
      <c r="E399" t="str">
        <f ca="1">IFERROR(__xludf.DUMMYFUNCTION("""COMPUTED_VALUE"""),"20 КРЫТЫЕ")</f>
        <v>20 КРЫТЫЕ</v>
      </c>
      <c r="F399">
        <f ca="1">IFERROR(__xludf.DUMMYFUNCTION("""COMPUTED_VALUE"""),42103)</f>
        <v>42103</v>
      </c>
      <c r="G399" t="str">
        <f ca="1">IFERROR(__xludf.DUMMYFUNCTION("""COMPUTED_VALUE"""),"ВАГОНЫ ЖД СВ")</f>
        <v>ВАГОНЫ ЖД СВ</v>
      </c>
      <c r="H399">
        <f ca="1">IFERROR(__xludf.DUMMYFUNCTION("""COMPUTED_VALUE"""),67)</f>
        <v>67</v>
      </c>
      <c r="I399">
        <f ca="1">IFERROR(__xludf.DUMMYFUNCTION("""COMPUTED_VALUE"""),4714)</f>
        <v>4714</v>
      </c>
      <c r="J399" t="str">
        <f ca="1">IFERROR(__xludf.DUMMYFUNCTION("""COMPUTED_VALUE"""),"3505 (49000-069-49460) ЛИМАН - БАХМУТ")</f>
        <v>3505 (49000-069-49460) ЛИМАН - БАХМУТ</v>
      </c>
      <c r="K399">
        <f ca="1">IFERROR(__xludf.DUMMYFUNCTION("""COMPUTED_VALUE"""),49480)</f>
        <v>49480</v>
      </c>
      <c r="L399" t="str">
        <f ca="1">IFERROR(__xludf.DUMMYFUNCTION("""COMPUTED_VALUE"""),"СОЛЬ")</f>
        <v>СОЛЬ</v>
      </c>
      <c r="M399" t="str">
        <f ca="1">IFERROR(__xludf.DUMMYFUNCTION("""COMPUTED_VALUE"""),"28.07.21 08-55")</f>
        <v>28.07.21 08-55</v>
      </c>
      <c r="N399" t="str">
        <f ca="1">IFERROR(__xludf.DUMMYFUNCTION("""COMPUTED_VALUE"""),"98 ОТОТ")</f>
        <v>98 ОТОТ</v>
      </c>
      <c r="O399">
        <f ca="1">IFERROR(__xludf.DUMMYFUNCTION("""COMPUTED_VALUE"""),49480)</f>
        <v>49480</v>
      </c>
      <c r="P399" t="str">
        <f ca="1">IFERROR(__xludf.DUMMYFUNCTION("""COMPUTED_VALUE"""),"СОЛЬ")</f>
        <v>СОЛЬ</v>
      </c>
      <c r="Q399">
        <f ca="1">IFERROR(__xludf.DUMMYFUNCTION("""COMPUTED_VALUE"""),40200)</f>
        <v>40200</v>
      </c>
      <c r="R399" t="str">
        <f ca="1">IFERROR(__xludf.DUMMYFUNCTION("""COMPUTED_VALUE"""),"ЧЕРНОМОРСК-П")</f>
        <v>ЧЕРНОМОРСК-П</v>
      </c>
      <c r="S399" t="str">
        <f ca="1">IFERROR(__xludf.DUMMYFUNCTION("""COMPUTED_VALUE"""),"09.07.21 00-23")</f>
        <v>09.07.21 00-23</v>
      </c>
      <c r="T399">
        <f ca="1">IFERROR(__xludf.DUMMYFUNCTION("""COMPUTED_VALUE"""),0)</f>
        <v>0</v>
      </c>
      <c r="U399" t="str">
        <f ca="1">IFERROR(__xludf.DUMMYFUNCTION("""COMPUTED_VALUE"""),"23.12.2022 ДР")</f>
        <v>23.12.2022 ДР</v>
      </c>
      <c r="AA399" t="str">
        <f ca="1">IFERROR(__xludf.DUMMYFUNCTION("""COMPUTED_VALUE"""),"11-217")</f>
        <v>11-217</v>
      </c>
      <c r="AB399" t="str">
        <f ca="1">IFERROR(__xludf.DUMMYFUNCTION("""COMPUTED_VALUE"""),"40 ОД")</f>
        <v>40 ОД</v>
      </c>
      <c r="AC399" t="str">
        <f ca="1">IFERROR(__xludf.DUMMYFUNCTION("""COMPUTED_VALUE"""),"41190 ПОМОШНАЯ")</f>
        <v>41190 ПОМОШНАЯ</v>
      </c>
      <c r="AD399" t="str">
        <f ca="1">IFERROR(__xludf.DUMMYFUNCTION("""COMPUTED_VALUE"""),"30.03.21 07-55")</f>
        <v>30.03.21 07-55</v>
      </c>
      <c r="AE399" t="str">
        <f ca="1">IFERROR(__xludf.DUMMYFUNCTION("""COMPUTED_VALUE"""),"100")</f>
        <v>100</v>
      </c>
      <c r="AF399" t="str">
        <f ca="1">IFERROR(__xludf.DUMMYFUNCTION("""COMPUTED_VALUE"""),"40 ОД")</f>
        <v>40 ОД</v>
      </c>
      <c r="AG399" t="str">
        <f ca="1">IFERROR(__xludf.DUMMYFUNCTION("""COMPUTED_VALUE"""),"41190 ПОМОШНАЯ")</f>
        <v>41190 ПОМОШНАЯ</v>
      </c>
      <c r="AH399" t="str">
        <f ca="1">IFERROR(__xludf.DUMMYFUNCTION("""COMPUTED_VALUE"""),"30.03.21 15-05")</f>
        <v>30.03.21 15-05</v>
      </c>
      <c r="AI399" s="21">
        <f ca="1">IFERROR(__xludf.DUMMYFUNCTION("""COMPUTED_VALUE"""),44420.3583449074)</f>
        <v>44420.358344907399</v>
      </c>
    </row>
    <row r="400" spans="1:35" ht="13" x14ac:dyDescent="0.15">
      <c r="A400">
        <f ca="1">IFERROR(__xludf.DUMMYFUNCTION("""COMPUTED_VALUE"""),1735)</f>
        <v>1735</v>
      </c>
      <c r="B400" t="str">
        <f ca="1">IFERROR(__xludf.DUMMYFUNCTION("""COMPUTED_VALUE"""),"ВИК")</f>
        <v>ВИК</v>
      </c>
      <c r="C400" t="str">
        <f ca="1">IFERROR(__xludf.DUMMYFUNCTION("""COMPUTED_VALUE"""),"ВИК")</f>
        <v>ВИК</v>
      </c>
      <c r="D400">
        <f ca="1">IFERROR(__xludf.DUMMYFUNCTION("""COMPUTED_VALUE"""),24479065)</f>
        <v>24479065</v>
      </c>
      <c r="E400" t="str">
        <f ca="1">IFERROR(__xludf.DUMMYFUNCTION("""COMPUTED_VALUE"""),"20 КРЫТЫЕ")</f>
        <v>20 КРЫТЫЕ</v>
      </c>
      <c r="F400">
        <f ca="1">IFERROR(__xludf.DUMMYFUNCTION("""COMPUTED_VALUE"""),42103)</f>
        <v>42103</v>
      </c>
      <c r="G400" t="str">
        <f ca="1">IFERROR(__xludf.DUMMYFUNCTION("""COMPUTED_VALUE"""),"ВАГОНЫ ЖД СВ")</f>
        <v>ВАГОНЫ ЖД СВ</v>
      </c>
      <c r="H400">
        <f ca="1">IFERROR(__xludf.DUMMYFUNCTION("""COMPUTED_VALUE"""),0)</f>
        <v>0</v>
      </c>
      <c r="I400">
        <f ca="1">IFERROR(__xludf.DUMMYFUNCTION("""COMPUTED_VALUE"""),4149)</f>
        <v>4149</v>
      </c>
      <c r="J400" t="str">
        <f ca="1">IFERROR(__xludf.DUMMYFUNCTION("""COMPUTED_VALUE"""),"2040 (37000-646-45000) ЛЬВОВ - НИЖНЕДН-УЗЕЛ")</f>
        <v>2040 (37000-646-45000) ЛЬВОВ - НИЖНЕДН-УЗЕЛ</v>
      </c>
      <c r="K400">
        <f ca="1">IFERROR(__xludf.DUMMYFUNCTION("""COMPUTED_VALUE"""),45000)</f>
        <v>45000</v>
      </c>
      <c r="L400" t="str">
        <f ca="1">IFERROR(__xludf.DUMMYFUNCTION("""COMPUTED_VALUE"""),"НИЖНЕДН-УЗЕЛ")</f>
        <v>НИЖНЕДН-УЗЕЛ</v>
      </c>
      <c r="M400" t="str">
        <f ca="1">IFERROR(__xludf.DUMMYFUNCTION("""COMPUTED_VALUE"""),"11.08.21 22-17")</f>
        <v>11.08.21 22-17</v>
      </c>
      <c r="N400" t="str">
        <f ca="1">IFERROR(__xludf.DUMMYFUNCTION("""COMPUTED_VALUE"""),"04 РАСФ")</f>
        <v>04 РАСФ</v>
      </c>
      <c r="O400">
        <f ca="1">IFERROR(__xludf.DUMMYFUNCTION("""COMPUTED_VALUE"""),49620)</f>
        <v>49620</v>
      </c>
      <c r="P400" t="str">
        <f ca="1">IFERROR(__xludf.DUMMYFUNCTION("""COMPUTED_VALUE"""),"ДЕКОНСКАЯ")</f>
        <v>ДЕКОНСКАЯ</v>
      </c>
      <c r="Q400">
        <f ca="1">IFERROR(__xludf.DUMMYFUNCTION("""COMPUTED_VALUE"""),38840)</f>
        <v>38840</v>
      </c>
      <c r="R400" t="str">
        <f ca="1">IFERROR(__xludf.DUMMYFUNCTION("""COMPUTED_VALUE"""),"ИВАНО-ФРАНК")</f>
        <v>ИВАНО-ФРАНК</v>
      </c>
      <c r="S400" t="str">
        <f ca="1">IFERROR(__xludf.DUMMYFUNCTION("""COMPUTED_VALUE"""),"07.08.21 15-30")</f>
        <v>07.08.21 15-30</v>
      </c>
      <c r="T400">
        <f ca="1">IFERROR(__xludf.DUMMYFUNCTION("""COMPUTED_VALUE"""),4456)</f>
        <v>4456</v>
      </c>
      <c r="U400" t="str">
        <f ca="1">IFERROR(__xludf.DUMMYFUNCTION("""COMPUTED_VALUE"""),"05.01.2023 ДР")</f>
        <v>05.01.2023 ДР</v>
      </c>
      <c r="AA400" t="str">
        <f ca="1">IFERROR(__xludf.DUMMYFUNCTION("""COMPUTED_VALUE"""),"11-217")</f>
        <v>11-217</v>
      </c>
      <c r="AB400" t="str">
        <f ca="1">IFERROR(__xludf.DUMMYFUNCTION("""COMPUTED_VALUE"""),"40 ОД")</f>
        <v>40 ОД</v>
      </c>
      <c r="AC400" t="str">
        <f ca="1">IFERROR(__xludf.DUMMYFUNCTION("""COMPUTED_VALUE"""),"41190 ПОМОШНАЯ")</f>
        <v>41190 ПОМОШНАЯ</v>
      </c>
      <c r="AD400" t="str">
        <f ca="1">IFERROR(__xludf.DUMMYFUNCTION("""COMPUTED_VALUE"""),"03.01.21 08-00")</f>
        <v>03.01.21 08-00</v>
      </c>
      <c r="AE400" t="str">
        <f ca="1">IFERROR(__xludf.DUMMYFUNCTION("""COMPUTED_VALUE"""),"570 ИCТEК КAЛЕНДАРНЫЙ CPOК ДEПOВCКОГО PEМOНТA")</f>
        <v>570 ИCТEК КAЛЕНДАРНЫЙ CPOК ДEПOВCКОГО PEМOНТA</v>
      </c>
      <c r="AF400" t="str">
        <f ca="1">IFERROR(__xludf.DUMMYFUNCTION("""COMPUTED_VALUE"""),"40 ОД")</f>
        <v>40 ОД</v>
      </c>
      <c r="AG400" t="str">
        <f ca="1">IFERROR(__xludf.DUMMYFUNCTION("""COMPUTED_VALUE"""),"41190 ПОМОШНАЯ")</f>
        <v>41190 ПОМОШНАЯ</v>
      </c>
      <c r="AH400" t="str">
        <f ca="1">IFERROR(__xludf.DUMMYFUNCTION("""COMPUTED_VALUE"""),"05.01.21 16-00")</f>
        <v>05.01.21 16-00</v>
      </c>
      <c r="AI400" s="21">
        <f ca="1">IFERROR(__xludf.DUMMYFUNCTION("""COMPUTED_VALUE"""),44420.3583449074)</f>
        <v>44420.358344907399</v>
      </c>
    </row>
    <row r="401" spans="1:35" ht="13" x14ac:dyDescent="0.15">
      <c r="A401">
        <f ca="1">IFERROR(__xludf.DUMMYFUNCTION("""COMPUTED_VALUE"""),1736)</f>
        <v>1736</v>
      </c>
      <c r="B401" t="str">
        <f ca="1">IFERROR(__xludf.DUMMYFUNCTION("""COMPUTED_VALUE"""),"ВИК")</f>
        <v>ВИК</v>
      </c>
      <c r="C401" t="str">
        <f ca="1">IFERROR(__xludf.DUMMYFUNCTION("""COMPUTED_VALUE"""),"ВИК")</f>
        <v>ВИК</v>
      </c>
      <c r="D401">
        <f ca="1">IFERROR(__xludf.DUMMYFUNCTION("""COMPUTED_VALUE"""),24479073)</f>
        <v>24479073</v>
      </c>
      <c r="E401" t="str">
        <f ca="1">IFERROR(__xludf.DUMMYFUNCTION("""COMPUTED_VALUE"""),"20 КРЫТЫЕ")</f>
        <v>20 КРЫТЫЕ</v>
      </c>
      <c r="F401">
        <f ca="1">IFERROR(__xludf.DUMMYFUNCTION("""COMPUTED_VALUE"""),42103)</f>
        <v>42103</v>
      </c>
      <c r="G401" t="str">
        <f ca="1">IFERROR(__xludf.DUMMYFUNCTION("""COMPUTED_VALUE"""),"ВАГОНЫ ЖД СВ")</f>
        <v>ВАГОНЫ ЖД СВ</v>
      </c>
      <c r="H401">
        <f ca="1">IFERROR(__xludf.DUMMYFUNCTION("""COMPUTED_VALUE"""),63)</f>
        <v>63</v>
      </c>
      <c r="I401">
        <f ca="1">IFERROR(__xludf.DUMMYFUNCTION("""COMPUTED_VALUE"""),7305)</f>
        <v>7305</v>
      </c>
      <c r="J401" t="str">
        <f ca="1">IFERROR(__xludf.DUMMYFUNCTION("""COMPUTED_VALUE"""),"2226 (35000-010-34270) ЗДОЛБУНОВ - КАЗАТИН I")</f>
        <v>2226 (35000-010-34270) ЗДОЛБУНОВ - КАЗАТИН I</v>
      </c>
      <c r="K401">
        <f ca="1">IFERROR(__xludf.DUMMYFUNCTION("""COMPUTED_VALUE"""),34150)</f>
        <v>34150</v>
      </c>
      <c r="L401" t="str">
        <f ca="1">IFERROR(__xludf.DUMMYFUNCTION("""COMPUTED_VALUE"""),"ЦВЕТОХА")</f>
        <v>ЦВЕТОХА</v>
      </c>
      <c r="M401" t="str">
        <f ca="1">IFERROR(__xludf.DUMMYFUNCTION("""COMPUTED_VALUE"""),"12.08.21 07-48")</f>
        <v>12.08.21 07-48</v>
      </c>
      <c r="N401" t="str">
        <f ca="1">IFERROR(__xludf.DUMMYFUNCTION("""COMPUTED_VALUE"""),"03 ПРОС")</f>
        <v>03 ПРОС</v>
      </c>
      <c r="O401">
        <f ca="1">IFERROR(__xludf.DUMMYFUNCTION("""COMPUTED_VALUE"""),46350)</f>
        <v>46350</v>
      </c>
      <c r="P401" t="str">
        <f ca="1">IFERROR(__xludf.DUMMYFUNCTION("""COMPUTED_VALUE"""),"ПЕРЕДАТОЧНАЯ")</f>
        <v>ПЕРЕДАТОЧНАЯ</v>
      </c>
      <c r="Q401">
        <f ca="1">IFERROR(__xludf.DUMMYFUNCTION("""COMPUTED_VALUE"""),46350)</f>
        <v>46350</v>
      </c>
      <c r="R401" t="str">
        <f ca="1">IFERROR(__xludf.DUMMYFUNCTION("""COMPUTED_VALUE"""),"ПЕРЕДАТОЧНАЯ")</f>
        <v>ПЕРЕДАТОЧНАЯ</v>
      </c>
      <c r="S401" t="str">
        <f ca="1">IFERROR(__xludf.DUMMYFUNCTION("""COMPUTED_VALUE"""),"27.07.21 15-00")</f>
        <v>27.07.21 15-00</v>
      </c>
      <c r="T401">
        <f ca="1">IFERROR(__xludf.DUMMYFUNCTION("""COMPUTED_VALUE"""),0)</f>
        <v>0</v>
      </c>
      <c r="U401" t="str">
        <f ca="1">IFERROR(__xludf.DUMMYFUNCTION("""COMPUTED_VALUE"""),"12.01.2023 ДР")</f>
        <v>12.01.2023 ДР</v>
      </c>
      <c r="AA401" t="str">
        <f ca="1">IFERROR(__xludf.DUMMYFUNCTION("""COMPUTED_VALUE"""),"11-217")</f>
        <v>11-217</v>
      </c>
      <c r="AB401" t="str">
        <f ca="1">IFERROR(__xludf.DUMMYFUNCTION("""COMPUTED_VALUE"""),"40 ОД")</f>
        <v>40 ОД</v>
      </c>
      <c r="AC401" t="str">
        <f ca="1">IFERROR(__xludf.DUMMYFUNCTION("""COMPUTED_VALUE"""),"41190 ПОМОШНАЯ")</f>
        <v>41190 ПОМОШНАЯ</v>
      </c>
      <c r="AD401" t="str">
        <f ca="1">IFERROR(__xludf.DUMMYFUNCTION("""COMPUTED_VALUE"""),"03.01.21 14-00")</f>
        <v>03.01.21 14-00</v>
      </c>
      <c r="AE401" t="str">
        <f ca="1">IFERROR(__xludf.DUMMYFUNCTION("""COMPUTED_VALUE"""),"570 ИCТEК КAЛЕНДАРНЫЙ CPOК ДEПOВCКОГО PEМOНТA")</f>
        <v>570 ИCТEК КAЛЕНДАРНЫЙ CPOК ДEПOВCКОГО PEМOНТA</v>
      </c>
      <c r="AF401" t="str">
        <f ca="1">IFERROR(__xludf.DUMMYFUNCTION("""COMPUTED_VALUE"""),"40 ОД")</f>
        <v>40 ОД</v>
      </c>
      <c r="AG401" t="str">
        <f ca="1">IFERROR(__xludf.DUMMYFUNCTION("""COMPUTED_VALUE"""),"41190 ПОМОШНАЯ")</f>
        <v>41190 ПОМОШНАЯ</v>
      </c>
      <c r="AH401" t="str">
        <f ca="1">IFERROR(__xludf.DUMMYFUNCTION("""COMPUTED_VALUE"""),"12.01.21 14-30")</f>
        <v>12.01.21 14-30</v>
      </c>
      <c r="AI401" s="21">
        <f ca="1">IFERROR(__xludf.DUMMYFUNCTION("""COMPUTED_VALUE"""),44420.3583449074)</f>
        <v>44420.358344907399</v>
      </c>
    </row>
    <row r="402" spans="1:35" ht="13" x14ac:dyDescent="0.15">
      <c r="A402">
        <f ca="1">IFERROR(__xludf.DUMMYFUNCTION("""COMPUTED_VALUE"""),1737)</f>
        <v>1737</v>
      </c>
      <c r="B402" t="str">
        <f ca="1">IFERROR(__xludf.DUMMYFUNCTION("""COMPUTED_VALUE"""),"ВИК")</f>
        <v>ВИК</v>
      </c>
      <c r="C402" t="str">
        <f ca="1">IFERROR(__xludf.DUMMYFUNCTION("""COMPUTED_VALUE"""),"ВИК")</f>
        <v>ВИК</v>
      </c>
      <c r="D402">
        <f ca="1">IFERROR(__xludf.DUMMYFUNCTION("""COMPUTED_VALUE"""),24479081)</f>
        <v>24479081</v>
      </c>
      <c r="E402" t="str">
        <f ca="1">IFERROR(__xludf.DUMMYFUNCTION("""COMPUTED_VALUE"""),"20 КРЫТЫЕ")</f>
        <v>20 КРЫТЫЕ</v>
      </c>
      <c r="F402">
        <f ca="1">IFERROR(__xludf.DUMMYFUNCTION("""COMPUTED_VALUE"""),42103)</f>
        <v>42103</v>
      </c>
      <c r="G402" t="str">
        <f ca="1">IFERROR(__xludf.DUMMYFUNCTION("""COMPUTED_VALUE"""),"ВАГОНЫ ЖД СВ")</f>
        <v>ВАГОНЫ ЖД СВ</v>
      </c>
      <c r="H402">
        <f ca="1">IFERROR(__xludf.DUMMYFUNCTION("""COMPUTED_VALUE"""),0)</f>
        <v>0</v>
      </c>
      <c r="I402">
        <f ca="1">IFERROR(__xludf.DUMMYFUNCTION("""COMPUTED_VALUE"""),4149)</f>
        <v>4149</v>
      </c>
      <c r="J402" t="str">
        <f ca="1">IFERROR(__xludf.DUMMYFUNCTION("""COMPUTED_VALUE"""),"4833 (49640-038-49460)  - БАХМУТ")</f>
        <v>4833 (49640-038-49460)  - БАХМУТ</v>
      </c>
      <c r="K402">
        <f ca="1">IFERROR(__xludf.DUMMYFUNCTION("""COMPUTED_VALUE"""),49620)</f>
        <v>49620</v>
      </c>
      <c r="L402" t="str">
        <f ca="1">IFERROR(__xludf.DUMMYFUNCTION("""COMPUTED_VALUE"""),"ДЕКОНСКАЯ")</f>
        <v>ДЕКОНСКАЯ</v>
      </c>
      <c r="M402" t="str">
        <f ca="1">IFERROR(__xludf.DUMMYFUNCTION("""COMPUTED_VALUE"""),"09.08.21 12-10")</f>
        <v>09.08.21 12-10</v>
      </c>
      <c r="N402" t="str">
        <f ca="1">IFERROR(__xludf.DUMMYFUNCTION("""COMPUTED_VALUE"""),"98 ОТОТ")</f>
        <v>98 ОТОТ</v>
      </c>
      <c r="O402">
        <f ca="1">IFERROR(__xludf.DUMMYFUNCTION("""COMPUTED_VALUE"""),49620)</f>
        <v>49620</v>
      </c>
      <c r="P402" t="str">
        <f ca="1">IFERROR(__xludf.DUMMYFUNCTION("""COMPUTED_VALUE"""),"ДЕКОНСКАЯ")</f>
        <v>ДЕКОНСКАЯ</v>
      </c>
      <c r="Q402">
        <f ca="1">IFERROR(__xludf.DUMMYFUNCTION("""COMPUTED_VALUE"""),32040)</f>
        <v>32040</v>
      </c>
      <c r="R402" t="str">
        <f ca="1">IFERROR(__xludf.DUMMYFUNCTION("""COMPUTED_VALUE"""),"ГРУШКИ")</f>
        <v>ГРУШКИ</v>
      </c>
      <c r="S402" t="str">
        <f ca="1">IFERROR(__xludf.DUMMYFUNCTION("""COMPUTED_VALUE"""),"03.08.21 08-00")</f>
        <v>03.08.21 08-00</v>
      </c>
      <c r="T402">
        <f ca="1">IFERROR(__xludf.DUMMYFUNCTION("""COMPUTED_VALUE"""),4456)</f>
        <v>4456</v>
      </c>
      <c r="U402" t="str">
        <f ca="1">IFERROR(__xludf.DUMMYFUNCTION("""COMPUTED_VALUE"""),"12.01.2023 ДР")</f>
        <v>12.01.2023 ДР</v>
      </c>
      <c r="AA402" t="str">
        <f ca="1">IFERROR(__xludf.DUMMYFUNCTION("""COMPUTED_VALUE"""),"11-217")</f>
        <v>11-217</v>
      </c>
      <c r="AB402" t="str">
        <f ca="1">IFERROR(__xludf.DUMMYFUNCTION("""COMPUTED_VALUE"""),"40 ОД")</f>
        <v>40 ОД</v>
      </c>
      <c r="AC402" t="str">
        <f ca="1">IFERROR(__xludf.DUMMYFUNCTION("""COMPUTED_VALUE"""),"41190 ПОМОШНАЯ")</f>
        <v>41190 ПОМОШНАЯ</v>
      </c>
      <c r="AD402" t="str">
        <f ca="1">IFERROR(__xludf.DUMMYFUNCTION("""COMPUTED_VALUE"""),"03.01.21 14-00")</f>
        <v>03.01.21 14-00</v>
      </c>
      <c r="AE402" t="str">
        <f ca="1">IFERROR(__xludf.DUMMYFUNCTION("""COMPUTED_VALUE"""),"570 ИCТEК КAЛЕНДАРНЫЙ CPOК ДEПOВCКОГО PEМOНТA")</f>
        <v>570 ИCТEК КAЛЕНДАРНЫЙ CPOК ДEПOВCКОГО PEМOНТA</v>
      </c>
      <c r="AF402" t="str">
        <f ca="1">IFERROR(__xludf.DUMMYFUNCTION("""COMPUTED_VALUE"""),"40 ОД")</f>
        <v>40 ОД</v>
      </c>
      <c r="AG402" t="str">
        <f ca="1">IFERROR(__xludf.DUMMYFUNCTION("""COMPUTED_VALUE"""),"41190 ПОМОШНАЯ")</f>
        <v>41190 ПОМОШНАЯ</v>
      </c>
      <c r="AH402" t="str">
        <f ca="1">IFERROR(__xludf.DUMMYFUNCTION("""COMPUTED_VALUE"""),"12.01.21 16-00")</f>
        <v>12.01.21 16-00</v>
      </c>
      <c r="AI402" s="21">
        <f ca="1">IFERROR(__xludf.DUMMYFUNCTION("""COMPUTED_VALUE"""),44420.3583449074)</f>
        <v>44420.358344907399</v>
      </c>
    </row>
    <row r="403" spans="1:35" ht="13" x14ac:dyDescent="0.15">
      <c r="A403">
        <f ca="1">IFERROR(__xludf.DUMMYFUNCTION("""COMPUTED_VALUE"""),1738)</f>
        <v>1738</v>
      </c>
      <c r="B403" t="str">
        <f ca="1">IFERROR(__xludf.DUMMYFUNCTION("""COMPUTED_VALUE"""),"ВИК")</f>
        <v>ВИК</v>
      </c>
      <c r="C403" t="str">
        <f ca="1">IFERROR(__xludf.DUMMYFUNCTION("""COMPUTED_VALUE"""),"ВИК")</f>
        <v>ВИК</v>
      </c>
      <c r="D403">
        <f ca="1">IFERROR(__xludf.DUMMYFUNCTION("""COMPUTED_VALUE"""),24479107)</f>
        <v>24479107</v>
      </c>
      <c r="E403" t="str">
        <f ca="1">IFERROR(__xludf.DUMMYFUNCTION("""COMPUTED_VALUE"""),"20 КРЫТЫЕ")</f>
        <v>20 КРЫТЫЕ</v>
      </c>
      <c r="F403">
        <f ca="1">IFERROR(__xludf.DUMMYFUNCTION("""COMPUTED_VALUE"""),23304)</f>
        <v>23304</v>
      </c>
      <c r="G403" t="str">
        <f ca="1">IFERROR(__xludf.DUMMYFUNCTION("""COMPUTED_VALUE"""),"ГИПС ПР")</f>
        <v>ГИПС ПР</v>
      </c>
      <c r="H403">
        <f ca="1">IFERROR(__xludf.DUMMYFUNCTION("""COMPUTED_VALUE"""),67)</f>
        <v>67</v>
      </c>
      <c r="I403">
        <f ca="1">IFERROR(__xludf.DUMMYFUNCTION("""COMPUTED_VALUE"""),7272)</f>
        <v>7272</v>
      </c>
      <c r="J403" t="str">
        <f ca="1">IFERROR(__xludf.DUMMYFUNCTION("""COMPUTED_VALUE"""),"3501 (34350-214-34560) ФАСТОВ I - ЖИТОМИР")</f>
        <v>3501 (34350-214-34560) ФАСТОВ I - ЖИТОМИР</v>
      </c>
      <c r="K403">
        <f ca="1">IFERROR(__xludf.DUMMYFUNCTION("""COMPUTED_VALUE"""),34350)</f>
        <v>34350</v>
      </c>
      <c r="L403" t="str">
        <f ca="1">IFERROR(__xludf.DUMMYFUNCTION("""COMPUTED_VALUE"""),"ФАСТОВ I")</f>
        <v>ФАСТОВ I</v>
      </c>
      <c r="M403" t="str">
        <f ca="1">IFERROR(__xludf.DUMMYFUNCTION("""COMPUTED_VALUE"""),"12.08.21 03-12")</f>
        <v>12.08.21 03-12</v>
      </c>
      <c r="N403" t="str">
        <f ca="1">IFERROR(__xludf.DUMMYFUNCTION("""COMPUTED_VALUE"""),"05 ФОРМ")</f>
        <v>05 ФОРМ</v>
      </c>
      <c r="O403">
        <f ca="1">IFERROR(__xludf.DUMMYFUNCTION("""COMPUTED_VALUE"""),34560)</f>
        <v>34560</v>
      </c>
      <c r="P403" t="str">
        <f ca="1">IFERROR(__xludf.DUMMYFUNCTION("""COMPUTED_VALUE"""),"ЖИТОМИР")</f>
        <v>ЖИТОМИР</v>
      </c>
      <c r="Q403">
        <f ca="1">IFERROR(__xludf.DUMMYFUNCTION("""COMPUTED_VALUE"""),49620)</f>
        <v>49620</v>
      </c>
      <c r="R403" t="str">
        <f ca="1">IFERROR(__xludf.DUMMYFUNCTION("""COMPUTED_VALUE"""),"ДЕКОНСКАЯ")</f>
        <v>ДЕКОНСКАЯ</v>
      </c>
      <c r="S403" t="str">
        <f ca="1">IFERROR(__xludf.DUMMYFUNCTION("""COMPUTED_VALUE"""),"05.08.21 09-00")</f>
        <v>05.08.21 09-00</v>
      </c>
      <c r="T403">
        <f ca="1">IFERROR(__xludf.DUMMYFUNCTION("""COMPUTED_VALUE"""),4149)</f>
        <v>4149</v>
      </c>
      <c r="U403" t="str">
        <f ca="1">IFERROR(__xludf.DUMMYFUNCTION("""COMPUTED_VALUE"""),"25.02.2023 ТР-1")</f>
        <v>25.02.2023 ТР-1</v>
      </c>
      <c r="AA403" t="str">
        <f ca="1">IFERROR(__xludf.DUMMYFUNCTION("""COMPUTED_VALUE"""),"11-217")</f>
        <v>11-217</v>
      </c>
      <c r="AB403" t="str">
        <f ca="1">IFERROR(__xludf.DUMMYFUNCTION("""COMPUTED_VALUE"""),"40 ОД")</f>
        <v>40 ОД</v>
      </c>
      <c r="AC403" t="str">
        <f ca="1">IFERROR(__xludf.DUMMYFUNCTION("""COMPUTED_VALUE"""),"41190 ПОМОШНАЯ")</f>
        <v>41190 ПОМОШНАЯ</v>
      </c>
      <c r="AD403" t="str">
        <f ca="1">IFERROR(__xludf.DUMMYFUNCTION("""COMPUTED_VALUE"""),"17.02.20 18-00")</f>
        <v>17.02.20 18-00</v>
      </c>
      <c r="AE403" t="str">
        <f ca="1">IFERROR(__xludf.DUMMYFUNCTION("""COMPUTED_VALUE"""),"570 ИCТEК КAЛЕНДАРНЫЙ CPOК ДEПOВCКОГО PEМOНТA")</f>
        <v>570 ИCТEК КAЛЕНДАРНЫЙ CPOК ДEПOВCКОГО PEМOНТA</v>
      </c>
      <c r="AF403" t="str">
        <f ca="1">IFERROR(__xludf.DUMMYFUNCTION("""COMPUTED_VALUE"""),"40 ОД")</f>
        <v>40 ОД</v>
      </c>
      <c r="AG403" t="str">
        <f ca="1">IFERROR(__xludf.DUMMYFUNCTION("""COMPUTED_VALUE"""),"41190 ПОМОШНАЯ")</f>
        <v>41190 ПОМОШНАЯ</v>
      </c>
      <c r="AH403" t="str">
        <f ca="1">IFERROR(__xludf.DUMMYFUNCTION("""COMPUTED_VALUE"""),"04.03.20 17-00")</f>
        <v>04.03.20 17-00</v>
      </c>
      <c r="AI403" s="21">
        <f ca="1">IFERROR(__xludf.DUMMYFUNCTION("""COMPUTED_VALUE"""),44420.3583449074)</f>
        <v>44420.358344907399</v>
      </c>
    </row>
    <row r="404" spans="1:35" ht="13" x14ac:dyDescent="0.15">
      <c r="A404">
        <f ca="1">IFERROR(__xludf.DUMMYFUNCTION("""COMPUTED_VALUE"""),1739)</f>
        <v>1739</v>
      </c>
      <c r="B404" t="str">
        <f ca="1">IFERROR(__xludf.DUMMYFUNCTION("""COMPUTED_VALUE"""),"ВИК")</f>
        <v>ВИК</v>
      </c>
      <c r="C404" t="str">
        <f ca="1">IFERROR(__xludf.DUMMYFUNCTION("""COMPUTED_VALUE"""),"ВИК")</f>
        <v>ВИК</v>
      </c>
      <c r="D404">
        <f ca="1">IFERROR(__xludf.DUMMYFUNCTION("""COMPUTED_VALUE"""),24479131)</f>
        <v>24479131</v>
      </c>
      <c r="E404" t="str">
        <f ca="1">IFERROR(__xludf.DUMMYFUNCTION("""COMPUTED_VALUE"""),"20 КРЫТЫЕ")</f>
        <v>20 КРЫТЫЕ</v>
      </c>
      <c r="F404">
        <f ca="1">IFERROR(__xludf.DUMMYFUNCTION("""COMPUTED_VALUE"""),43619)</f>
        <v>43619</v>
      </c>
      <c r="G404" t="str">
        <f ca="1">IFERROR(__xludf.DUMMYFUNCTION("""COMPUTED_VALUE"""),"УДОБР ХИМ ПР")</f>
        <v>УДОБР ХИМ ПР</v>
      </c>
      <c r="H404">
        <f ca="1">IFERROR(__xludf.DUMMYFUNCTION("""COMPUTED_VALUE"""),66)</f>
        <v>66</v>
      </c>
      <c r="I404">
        <f ca="1">IFERROR(__xludf.DUMMYFUNCTION("""COMPUTED_VALUE"""),1749)</f>
        <v>1749</v>
      </c>
      <c r="J404" t="str">
        <f ca="1">IFERROR(__xludf.DUMMYFUNCTION("""COMPUTED_VALUE"""),"1111 (40920-048-42110) ЗЯТКОВЦЫ - ХРИСТИНОВКА")</f>
        <v>1111 (40920-048-42110) ЗЯТКОВЦЫ - ХРИСТИНОВКА</v>
      </c>
      <c r="K404">
        <f ca="1">IFERROR(__xludf.DUMMYFUNCTION("""COMPUTED_VALUE"""),40920)</f>
        <v>40920</v>
      </c>
      <c r="L404" t="str">
        <f ca="1">IFERROR(__xludf.DUMMYFUNCTION("""COMPUTED_VALUE"""),"ЗЯТКОВЦЫ")</f>
        <v>ЗЯТКОВЦЫ</v>
      </c>
      <c r="M404" t="str">
        <f ca="1">IFERROR(__xludf.DUMMYFUNCTION("""COMPUTED_VALUE"""),"12.08.21 07-09")</f>
        <v>12.08.21 07-09</v>
      </c>
      <c r="N404" t="str">
        <f ca="1">IFERROR(__xludf.DUMMYFUNCTION("""COMPUTED_VALUE"""),"05 ФОРМ")</f>
        <v>05 ФОРМ</v>
      </c>
      <c r="O404">
        <f ca="1">IFERROR(__xludf.DUMMYFUNCTION("""COMPUTED_VALUE"""),42130)</f>
        <v>42130</v>
      </c>
      <c r="P404" t="str">
        <f ca="1">IFERROR(__xludf.DUMMYFUNCTION("""COMPUTED_VALUE"""),"ПОТАШ")</f>
        <v>ПОТАШ</v>
      </c>
      <c r="Q404">
        <f ca="1">IFERROR(__xludf.DUMMYFUNCTION("""COMPUTED_VALUE"""),35260)</f>
        <v>35260</v>
      </c>
      <c r="R404" t="str">
        <f ca="1">IFERROR(__xludf.DUMMYFUNCTION("""COMPUTED_VALUE"""),"ИЗОВ-Э-ПКП")</f>
        <v>ИЗОВ-Э-ПКП</v>
      </c>
      <c r="S404" t="str">
        <f ca="1">IFERROR(__xludf.DUMMYFUNCTION("""COMPUTED_VALUE"""),"06.08.21 05-15")</f>
        <v>06.08.21 05-15</v>
      </c>
      <c r="U404" t="str">
        <f ca="1">IFERROR(__xludf.DUMMYFUNCTION("""COMPUTED_VALUE"""),"28.01.2023 ДР")</f>
        <v>28.01.2023 ДР</v>
      </c>
      <c r="AA404" t="str">
        <f ca="1">IFERROR(__xludf.DUMMYFUNCTION("""COMPUTED_VALUE"""),"11-217")</f>
        <v>11-217</v>
      </c>
      <c r="AB404" t="str">
        <f ca="1">IFERROR(__xludf.DUMMYFUNCTION("""COMPUTED_VALUE"""),"40 ОД")</f>
        <v>40 ОД</v>
      </c>
      <c r="AC404" t="str">
        <f ca="1">IFERROR(__xludf.DUMMYFUNCTION("""COMPUTED_VALUE"""),"41190 ПОМОШНАЯ")</f>
        <v>41190 ПОМОШНАЯ</v>
      </c>
      <c r="AD404" t="str">
        <f ca="1">IFERROR(__xludf.DUMMYFUNCTION("""COMPUTED_VALUE"""),"14.01.21 09-00")</f>
        <v>14.01.21 09-00</v>
      </c>
      <c r="AE404" t="str">
        <f ca="1">IFERROR(__xludf.DUMMYFUNCTION("""COMPUTED_VALUE"""),"570 ИCТEК КAЛЕНДАРНЫЙ CPOК ДEПOВCКОГО PEМOНТA")</f>
        <v>570 ИCТEК КAЛЕНДАРНЫЙ CPOК ДEПOВCКОГО PEМOНТA</v>
      </c>
      <c r="AF404" t="str">
        <f ca="1">IFERROR(__xludf.DUMMYFUNCTION("""COMPUTED_VALUE"""),"40 ОД")</f>
        <v>40 ОД</v>
      </c>
      <c r="AG404" t="str">
        <f ca="1">IFERROR(__xludf.DUMMYFUNCTION("""COMPUTED_VALUE"""),"41190 ПОМОШНАЯ")</f>
        <v>41190 ПОМОШНАЯ</v>
      </c>
      <c r="AH404" t="str">
        <f ca="1">IFERROR(__xludf.DUMMYFUNCTION("""COMPUTED_VALUE"""),"28.01.21 15-00")</f>
        <v>28.01.21 15-00</v>
      </c>
      <c r="AI404" s="21">
        <f ca="1">IFERROR(__xludf.DUMMYFUNCTION("""COMPUTED_VALUE"""),44420.3583449074)</f>
        <v>44420.358344907399</v>
      </c>
    </row>
    <row r="405" spans="1:35" ht="13" x14ac:dyDescent="0.15">
      <c r="A405">
        <f ca="1">IFERROR(__xludf.DUMMYFUNCTION("""COMPUTED_VALUE"""),1740)</f>
        <v>1740</v>
      </c>
      <c r="B405" t="str">
        <f ca="1">IFERROR(__xludf.DUMMYFUNCTION("""COMPUTED_VALUE"""),"ВИК")</f>
        <v>ВИК</v>
      </c>
      <c r="C405" t="str">
        <f ca="1">IFERROR(__xludf.DUMMYFUNCTION("""COMPUTED_VALUE"""),"ВИК")</f>
        <v>ВИК</v>
      </c>
      <c r="D405">
        <f ca="1">IFERROR(__xludf.DUMMYFUNCTION("""COMPUTED_VALUE"""),24479172)</f>
        <v>24479172</v>
      </c>
      <c r="E405" t="str">
        <f ca="1">IFERROR(__xludf.DUMMYFUNCTION("""COMPUTED_VALUE"""),"20 КРЫТЫЕ")</f>
        <v>20 КРЫТЫЕ</v>
      </c>
      <c r="F405">
        <f ca="1">IFERROR(__xludf.DUMMYFUNCTION("""COMPUTED_VALUE"""),42103)</f>
        <v>42103</v>
      </c>
      <c r="G405" t="str">
        <f ca="1">IFERROR(__xludf.DUMMYFUNCTION("""COMPUTED_VALUE"""),"ВАГОНЫ ЖД СВ")</f>
        <v>ВАГОНЫ ЖД СВ</v>
      </c>
      <c r="H405">
        <f ca="1">IFERROR(__xludf.DUMMYFUNCTION("""COMPUTED_VALUE"""),0)</f>
        <v>0</v>
      </c>
      <c r="I405">
        <f ca="1">IFERROR(__xludf.DUMMYFUNCTION("""COMPUTED_VALUE"""),4714)</f>
        <v>4714</v>
      </c>
      <c r="J405" t="str">
        <f ca="1">IFERROR(__xludf.DUMMYFUNCTION("""COMPUTED_VALUE"""),"3574 (49460-087-49000) БАХМУТ - ЛИМАН")</f>
        <v>3574 (49460-087-49000) БАХМУТ - ЛИМАН</v>
      </c>
      <c r="K405">
        <f ca="1">IFERROR(__xludf.DUMMYFUNCTION("""COMPUTED_VALUE"""),49480)</f>
        <v>49480</v>
      </c>
      <c r="L405" t="str">
        <f ca="1">IFERROR(__xludf.DUMMYFUNCTION("""COMPUTED_VALUE"""),"СОЛЬ")</f>
        <v>СОЛЬ</v>
      </c>
      <c r="M405" t="str">
        <f ca="1">IFERROR(__xludf.DUMMYFUNCTION("""COMPUTED_VALUE"""),"29.07.21 12-05")</f>
        <v>29.07.21 12-05</v>
      </c>
      <c r="N405" t="str">
        <f ca="1">IFERROR(__xludf.DUMMYFUNCTION("""COMPUTED_VALUE"""),"98 ОТОТ")</f>
        <v>98 ОТОТ</v>
      </c>
      <c r="O405">
        <f ca="1">IFERROR(__xludf.DUMMYFUNCTION("""COMPUTED_VALUE"""),49480)</f>
        <v>49480</v>
      </c>
      <c r="P405" t="str">
        <f ca="1">IFERROR(__xludf.DUMMYFUNCTION("""COMPUTED_VALUE"""),"СОЛЬ")</f>
        <v>СОЛЬ</v>
      </c>
      <c r="Q405">
        <f ca="1">IFERROR(__xludf.DUMMYFUNCTION("""COMPUTED_VALUE"""),32040)</f>
        <v>32040</v>
      </c>
      <c r="R405" t="str">
        <f ca="1">IFERROR(__xludf.DUMMYFUNCTION("""COMPUTED_VALUE"""),"ГРУШКИ")</f>
        <v>ГРУШКИ</v>
      </c>
      <c r="S405" t="str">
        <f ca="1">IFERROR(__xludf.DUMMYFUNCTION("""COMPUTED_VALUE"""),"19.07.21 11-00")</f>
        <v>19.07.21 11-00</v>
      </c>
      <c r="T405">
        <f ca="1">IFERROR(__xludf.DUMMYFUNCTION("""COMPUTED_VALUE"""),4456)</f>
        <v>4456</v>
      </c>
      <c r="U405" t="str">
        <f ca="1">IFERROR(__xludf.DUMMYFUNCTION("""COMPUTED_VALUE"""),"09.01.2023 ТР-1")</f>
        <v>09.01.2023 ТР-1</v>
      </c>
      <c r="AA405" t="str">
        <f ca="1">IFERROR(__xludf.DUMMYFUNCTION("""COMPUTED_VALUE"""),"11-270")</f>
        <v>11-270</v>
      </c>
      <c r="AB405" t="str">
        <f ca="1">IFERROR(__xludf.DUMMYFUNCTION("""COMPUTED_VALUE"""),"40 ОД")</f>
        <v>40 ОД</v>
      </c>
      <c r="AC405" t="str">
        <f ca="1">IFERROR(__xludf.DUMMYFUNCTION("""COMPUTED_VALUE"""),"41190 ПОМОШНАЯ")</f>
        <v>41190 ПОМОШНАЯ</v>
      </c>
      <c r="AD405" t="str">
        <f ca="1">IFERROR(__xludf.DUMMYFUNCTION("""COMPUTED_VALUE"""),"02.01.21 09-00")</f>
        <v>02.01.21 09-00</v>
      </c>
      <c r="AE405" t="str">
        <f ca="1">IFERROR(__xludf.DUMMYFUNCTION("""COMPUTED_VALUE"""),"570 ИCТEК КAЛЕНДАРНЫЙ CPOК ДEПOВCКОГО PEМOНТA")</f>
        <v>570 ИCТEК КAЛЕНДАРНЫЙ CPOК ДEПOВCКОГО PEМOНТA</v>
      </c>
      <c r="AF405" t="str">
        <f ca="1">IFERROR(__xludf.DUMMYFUNCTION("""COMPUTED_VALUE"""),"40 ОД")</f>
        <v>40 ОД</v>
      </c>
      <c r="AG405" t="str">
        <f ca="1">IFERROR(__xludf.DUMMYFUNCTION("""COMPUTED_VALUE"""),"41190 ПОМОШНАЯ")</f>
        <v>41190 ПОМОШНАЯ</v>
      </c>
      <c r="AH405" t="str">
        <f ca="1">IFERROR(__xludf.DUMMYFUNCTION("""COMPUTED_VALUE"""),"12.01.21 14-30")</f>
        <v>12.01.21 14-30</v>
      </c>
      <c r="AI405" s="21">
        <f ca="1">IFERROR(__xludf.DUMMYFUNCTION("""COMPUTED_VALUE"""),44420.3583449074)</f>
        <v>44420.358344907399</v>
      </c>
    </row>
    <row r="406" spans="1:35" ht="13" x14ac:dyDescent="0.15">
      <c r="A406">
        <f ca="1">IFERROR(__xludf.DUMMYFUNCTION("""COMPUTED_VALUE"""),1741)</f>
        <v>1741</v>
      </c>
      <c r="B406" t="str">
        <f ca="1">IFERROR(__xludf.DUMMYFUNCTION("""COMPUTED_VALUE"""),"ВИК")</f>
        <v>ВИК</v>
      </c>
      <c r="C406" t="str">
        <f ca="1">IFERROR(__xludf.DUMMYFUNCTION("""COMPUTED_VALUE"""),"ВИК")</f>
        <v>ВИК</v>
      </c>
      <c r="D406">
        <f ca="1">IFERROR(__xludf.DUMMYFUNCTION("""COMPUTED_VALUE"""),24479180)</f>
        <v>24479180</v>
      </c>
      <c r="E406" t="str">
        <f ca="1">IFERROR(__xludf.DUMMYFUNCTION("""COMPUTED_VALUE"""),"20 КРЫТЫЕ")</f>
        <v>20 КРЫТЫЕ</v>
      </c>
      <c r="F406">
        <f ca="1">IFERROR(__xludf.DUMMYFUNCTION("""COMPUTED_VALUE"""),42103)</f>
        <v>42103</v>
      </c>
      <c r="G406" t="str">
        <f ca="1">IFERROR(__xludf.DUMMYFUNCTION("""COMPUTED_VALUE"""),"ВАГОНЫ ЖД СВ")</f>
        <v>ВАГОНЫ ЖД СВ</v>
      </c>
      <c r="H406">
        <f ca="1">IFERROR(__xludf.DUMMYFUNCTION("""COMPUTED_VALUE"""),0)</f>
        <v>0</v>
      </c>
      <c r="I406">
        <f ca="1">IFERROR(__xludf.DUMMYFUNCTION("""COMPUTED_VALUE"""),1556)</f>
        <v>1556</v>
      </c>
      <c r="J406" t="str">
        <f ca="1">IFERROR(__xludf.DUMMYFUNCTION("""COMPUTED_VALUE"""),"5555 (40000-413-00010) ОДЕССА-СОРТ -")</f>
        <v>5555 (40000-413-00010) ОДЕССА-СОРТ -</v>
      </c>
      <c r="K406">
        <f ca="1">IFERROR(__xludf.DUMMYFUNCTION("""COMPUTED_VALUE"""),40000)</f>
        <v>40000</v>
      </c>
      <c r="L406" t="str">
        <f ca="1">IFERROR(__xludf.DUMMYFUNCTION("""COMPUTED_VALUE"""),"ОДЕССА-СОРТ")</f>
        <v>ОДЕССА-СОРТ</v>
      </c>
      <c r="M406" t="str">
        <f ca="1">IFERROR(__xludf.DUMMYFUNCTION("""COMPUTED_VALUE"""),"12.08.21 03-24")</f>
        <v>12.08.21 03-24</v>
      </c>
      <c r="N406" t="str">
        <f ca="1">IFERROR(__xludf.DUMMYFUNCTION("""COMPUTED_VALUE"""),"04 РАСФ")</f>
        <v>04 РАСФ</v>
      </c>
      <c r="O406">
        <f ca="1">IFERROR(__xludf.DUMMYFUNCTION("""COMPUTED_VALUE"""),40200)</f>
        <v>40200</v>
      </c>
      <c r="P406" t="str">
        <f ca="1">IFERROR(__xludf.DUMMYFUNCTION("""COMPUTED_VALUE"""),"ЧЕРНОМОРСК-П")</f>
        <v>ЧЕРНОМОРСК-П</v>
      </c>
      <c r="Q406">
        <f ca="1">IFERROR(__xludf.DUMMYFUNCTION("""COMPUTED_VALUE"""),49480)</f>
        <v>49480</v>
      </c>
      <c r="R406" t="str">
        <f ca="1">IFERROR(__xludf.DUMMYFUNCTION("""COMPUTED_VALUE"""),"СОЛЬ")</f>
        <v>СОЛЬ</v>
      </c>
      <c r="S406" t="str">
        <f ca="1">IFERROR(__xludf.DUMMYFUNCTION("""COMPUTED_VALUE"""),"04.08.21 15-25")</f>
        <v>04.08.21 15-25</v>
      </c>
      <c r="T406">
        <f ca="1">IFERROR(__xludf.DUMMYFUNCTION("""COMPUTED_VALUE"""),4456)</f>
        <v>4456</v>
      </c>
      <c r="U406" t="str">
        <f ca="1">IFERROR(__xludf.DUMMYFUNCTION("""COMPUTED_VALUE"""),"29.12.2022 ДР")</f>
        <v>29.12.2022 ДР</v>
      </c>
      <c r="AA406" t="str">
        <f ca="1">IFERROR(__xludf.DUMMYFUNCTION("""COMPUTED_VALUE"""),"11-217")</f>
        <v>11-217</v>
      </c>
      <c r="AB406" t="str">
        <f ca="1">IFERROR(__xludf.DUMMYFUNCTION("""COMPUTED_VALUE"""),"40 ОД")</f>
        <v>40 ОД</v>
      </c>
      <c r="AC406" t="str">
        <f ca="1">IFERROR(__xludf.DUMMYFUNCTION("""COMPUTED_VALUE"""),"41190 ПОМОШНАЯ")</f>
        <v>41190 ПОМОШНАЯ</v>
      </c>
      <c r="AD406" t="str">
        <f ca="1">IFERROR(__xludf.DUMMYFUNCTION("""COMPUTED_VALUE"""),"26.12.20 08-00")</f>
        <v>26.12.20 08-00</v>
      </c>
      <c r="AE406" t="str">
        <f ca="1">IFERROR(__xludf.DUMMYFUNCTION("""COMPUTED_VALUE"""),"570 ИCТEК КAЛЕНДАРНЫЙ CPOК ДEПOВCКОГО PEМOНТA")</f>
        <v>570 ИCТEК КAЛЕНДАРНЫЙ CPOК ДEПOВCКОГО PEМOНТA</v>
      </c>
      <c r="AF406" t="str">
        <f ca="1">IFERROR(__xludf.DUMMYFUNCTION("""COMPUTED_VALUE"""),"40 ОД")</f>
        <v>40 ОД</v>
      </c>
      <c r="AG406" t="str">
        <f ca="1">IFERROR(__xludf.DUMMYFUNCTION("""COMPUTED_VALUE"""),"41190 ПОМОШНАЯ")</f>
        <v>41190 ПОМОШНАЯ</v>
      </c>
      <c r="AH406" t="str">
        <f ca="1">IFERROR(__xludf.DUMMYFUNCTION("""COMPUTED_VALUE"""),"29.12.20 11-30")</f>
        <v>29.12.20 11-30</v>
      </c>
      <c r="AI406" s="21">
        <f ca="1">IFERROR(__xludf.DUMMYFUNCTION("""COMPUTED_VALUE"""),44420.3583449074)</f>
        <v>44420.358344907399</v>
      </c>
    </row>
    <row r="407" spans="1:35" ht="13" x14ac:dyDescent="0.15">
      <c r="A407">
        <f ca="1">IFERROR(__xludf.DUMMYFUNCTION("""COMPUTED_VALUE"""),1742)</f>
        <v>1742</v>
      </c>
      <c r="B407" t="str">
        <f ca="1">IFERROR(__xludf.DUMMYFUNCTION("""COMPUTED_VALUE"""),"ВИК")</f>
        <v>ВИК</v>
      </c>
      <c r="C407" t="str">
        <f ca="1">IFERROR(__xludf.DUMMYFUNCTION("""COMPUTED_VALUE"""),"ВИК")</f>
        <v>ВИК</v>
      </c>
      <c r="D407">
        <f ca="1">IFERROR(__xludf.DUMMYFUNCTION("""COMPUTED_VALUE"""),24479206)</f>
        <v>24479206</v>
      </c>
      <c r="E407" t="str">
        <f ca="1">IFERROR(__xludf.DUMMYFUNCTION("""COMPUTED_VALUE"""),"20 КРЫТЫЕ")</f>
        <v>20 КРЫТЫЕ</v>
      </c>
      <c r="F407">
        <f ca="1">IFERROR(__xludf.DUMMYFUNCTION("""COMPUTED_VALUE"""),23304)</f>
        <v>23304</v>
      </c>
      <c r="G407" t="str">
        <f ca="1">IFERROR(__xludf.DUMMYFUNCTION("""COMPUTED_VALUE"""),"ГИПС ПР")</f>
        <v>ГИПС ПР</v>
      </c>
      <c r="H407">
        <f ca="1">IFERROR(__xludf.DUMMYFUNCTION("""COMPUTED_VALUE"""),68)</f>
        <v>68</v>
      </c>
      <c r="I407">
        <f ca="1">IFERROR(__xludf.DUMMYFUNCTION("""COMPUTED_VALUE"""),3314)</f>
        <v>3314</v>
      </c>
      <c r="J407" t="str">
        <f ca="1">IFERROR(__xludf.DUMMYFUNCTION("""COMPUTED_VALUE"""),"1111 (32040-009-32050) ГРУШКИ - КИЕВ-ВОЛЫНСК")</f>
        <v>1111 (32040-009-32050) ГРУШКИ - КИЕВ-ВОЛЫНСК</v>
      </c>
      <c r="K407">
        <f ca="1">IFERROR(__xludf.DUMMYFUNCTION("""COMPUTED_VALUE"""),32040)</f>
        <v>32040</v>
      </c>
      <c r="L407" t="str">
        <f ca="1">IFERROR(__xludf.DUMMYFUNCTION("""COMPUTED_VALUE"""),"ГРУШКИ")</f>
        <v>ГРУШКИ</v>
      </c>
      <c r="M407" t="str">
        <f ca="1">IFERROR(__xludf.DUMMYFUNCTION("""COMPUTED_VALUE"""),"10.08.21 16-00")</f>
        <v>10.08.21 16-00</v>
      </c>
      <c r="N407" t="str">
        <f ca="1">IFERROR(__xludf.DUMMYFUNCTION("""COMPUTED_VALUE"""),"21 ВЫГ2")</f>
        <v>21 ВЫГ2</v>
      </c>
      <c r="O407">
        <f ca="1">IFERROR(__xludf.DUMMYFUNCTION("""COMPUTED_VALUE"""),32040)</f>
        <v>32040</v>
      </c>
      <c r="P407" t="str">
        <f ca="1">IFERROR(__xludf.DUMMYFUNCTION("""COMPUTED_VALUE"""),"ГРУШКИ")</f>
        <v>ГРУШКИ</v>
      </c>
      <c r="Q407">
        <f ca="1">IFERROR(__xludf.DUMMYFUNCTION("""COMPUTED_VALUE"""),49620)</f>
        <v>49620</v>
      </c>
      <c r="R407" t="str">
        <f ca="1">IFERROR(__xludf.DUMMYFUNCTION("""COMPUTED_VALUE"""),"ДЕКОНСКАЯ")</f>
        <v>ДЕКОНСКАЯ</v>
      </c>
      <c r="S407" t="str">
        <f ca="1">IFERROR(__xludf.DUMMYFUNCTION("""COMPUTED_VALUE"""),"01.08.21 04-20")</f>
        <v>01.08.21 04-20</v>
      </c>
      <c r="U407" t="str">
        <f ca="1">IFERROR(__xludf.DUMMYFUNCTION("""COMPUTED_VALUE"""),"05.01.2023 ДР")</f>
        <v>05.01.2023 ДР</v>
      </c>
      <c r="AA407" t="str">
        <f ca="1">IFERROR(__xludf.DUMMYFUNCTION("""COMPUTED_VALUE"""),"11-217")</f>
        <v>11-217</v>
      </c>
      <c r="AB407" t="str">
        <f ca="1">IFERROR(__xludf.DUMMYFUNCTION("""COMPUTED_VALUE"""),"40 ОД")</f>
        <v>40 ОД</v>
      </c>
      <c r="AC407" t="str">
        <f ca="1">IFERROR(__xludf.DUMMYFUNCTION("""COMPUTED_VALUE"""),"41190 ПОМОШНАЯ")</f>
        <v>41190 ПОМОШНАЯ</v>
      </c>
      <c r="AD407" t="str">
        <f ca="1">IFERROR(__xludf.DUMMYFUNCTION("""COMPUTED_VALUE"""),"28.03.21 09-00")</f>
        <v>28.03.21 09-00</v>
      </c>
      <c r="AE407" t="str">
        <f ca="1">IFERROR(__xludf.DUMMYFUNCTION("""COMPUTED_VALUE"""),"102 ТOНКИЙ ГPEБEНЬ")</f>
        <v>102 ТOНКИЙ ГPEБEНЬ</v>
      </c>
      <c r="AF407" t="str">
        <f ca="1">IFERROR(__xludf.DUMMYFUNCTION("""COMPUTED_VALUE"""),"40 ОД")</f>
        <v>40 ОД</v>
      </c>
      <c r="AG407" t="str">
        <f ca="1">IFERROR(__xludf.DUMMYFUNCTION("""COMPUTED_VALUE"""),"41190 ПОМОШНАЯ")</f>
        <v>41190 ПОМОШНАЯ</v>
      </c>
      <c r="AH407" t="str">
        <f ca="1">IFERROR(__xludf.DUMMYFUNCTION("""COMPUTED_VALUE"""),"28.03.21 14-10")</f>
        <v>28.03.21 14-10</v>
      </c>
      <c r="AI407" s="21">
        <f ca="1">IFERROR(__xludf.DUMMYFUNCTION("""COMPUTED_VALUE"""),44420.3583449074)</f>
        <v>44420.358344907399</v>
      </c>
    </row>
    <row r="408" spans="1:35" ht="13" x14ac:dyDescent="0.15">
      <c r="A408">
        <f ca="1">IFERROR(__xludf.DUMMYFUNCTION("""COMPUTED_VALUE"""),1743)</f>
        <v>1743</v>
      </c>
      <c r="B408" t="str">
        <f ca="1">IFERROR(__xludf.DUMMYFUNCTION("""COMPUTED_VALUE"""),"ВИК")</f>
        <v>ВИК</v>
      </c>
      <c r="C408" t="str">
        <f ca="1">IFERROR(__xludf.DUMMYFUNCTION("""COMPUTED_VALUE"""),"ВИК")</f>
        <v>ВИК</v>
      </c>
      <c r="D408">
        <f ca="1">IFERROR(__xludf.DUMMYFUNCTION("""COMPUTED_VALUE"""),24479214)</f>
        <v>24479214</v>
      </c>
      <c r="E408" t="str">
        <f ca="1">IFERROR(__xludf.DUMMYFUNCTION("""COMPUTED_VALUE"""),"20 КРЫТЫЕ")</f>
        <v>20 КРЫТЫЕ</v>
      </c>
      <c r="F408">
        <f ca="1">IFERROR(__xludf.DUMMYFUNCTION("""COMPUTED_VALUE"""),42103)</f>
        <v>42103</v>
      </c>
      <c r="G408" t="str">
        <f ca="1">IFERROR(__xludf.DUMMYFUNCTION("""COMPUTED_VALUE"""),"ВАГОНЫ ЖД СВ")</f>
        <v>ВАГОНЫ ЖД СВ</v>
      </c>
      <c r="H408">
        <f ca="1">IFERROR(__xludf.DUMMYFUNCTION("""COMPUTED_VALUE"""),0)</f>
        <v>0</v>
      </c>
      <c r="I408">
        <f ca="1">IFERROR(__xludf.DUMMYFUNCTION("""COMPUTED_VALUE"""),4149)</f>
        <v>4149</v>
      </c>
      <c r="J408" t="str">
        <f ca="1">IFERROR(__xludf.DUMMYFUNCTION("""COMPUTED_VALUE"""),"1111 (38830-084-37000) ЯМНИЦА - ЛЬВОВ")</f>
        <v>1111 (38830-084-37000) ЯМНИЦА - ЛЬВОВ</v>
      </c>
      <c r="K408">
        <f ca="1">IFERROR(__xludf.DUMMYFUNCTION("""COMPUTED_VALUE"""),38830)</f>
        <v>38830</v>
      </c>
      <c r="L408" t="str">
        <f ca="1">IFERROR(__xludf.DUMMYFUNCTION("""COMPUTED_VALUE"""),"ЯМНИЦА")</f>
        <v>ЯМНИЦА</v>
      </c>
      <c r="M408" t="str">
        <f ca="1">IFERROR(__xludf.DUMMYFUNCTION("""COMPUTED_VALUE"""),"11.08.21 13-19")</f>
        <v>11.08.21 13-19</v>
      </c>
      <c r="N408" t="str">
        <f ca="1">IFERROR(__xludf.DUMMYFUNCTION("""COMPUTED_VALUE"""),"05 ФОРМ")</f>
        <v>05 ФОРМ</v>
      </c>
      <c r="O408">
        <f ca="1">IFERROR(__xludf.DUMMYFUNCTION("""COMPUTED_VALUE"""),49620)</f>
        <v>49620</v>
      </c>
      <c r="P408" t="str">
        <f ca="1">IFERROR(__xludf.DUMMYFUNCTION("""COMPUTED_VALUE"""),"ДЕКОНСКАЯ")</f>
        <v>ДЕКОНСКАЯ</v>
      </c>
      <c r="Q408">
        <f ca="1">IFERROR(__xludf.DUMMYFUNCTION("""COMPUTED_VALUE"""),36820)</f>
        <v>36820</v>
      </c>
      <c r="R408" t="str">
        <f ca="1">IFERROR(__xludf.DUMMYFUNCTION("""COMPUTED_VALUE"""),"ЧЕРНОВЦЫ-ЮЖН")</f>
        <v>ЧЕРНОВЦЫ-ЮЖН</v>
      </c>
      <c r="S408" t="str">
        <f ca="1">IFERROR(__xludf.DUMMYFUNCTION("""COMPUTED_VALUE"""),"09.08.21 14-30")</f>
        <v>09.08.21 14-30</v>
      </c>
      <c r="T408">
        <f ca="1">IFERROR(__xludf.DUMMYFUNCTION("""COMPUTED_VALUE"""),4456)</f>
        <v>4456</v>
      </c>
      <c r="U408" t="str">
        <f ca="1">IFERROR(__xludf.DUMMYFUNCTION("""COMPUTED_VALUE"""),"05.01.2023 ДР")</f>
        <v>05.01.2023 ДР</v>
      </c>
      <c r="AA408" t="str">
        <f ca="1">IFERROR(__xludf.DUMMYFUNCTION("""COMPUTED_VALUE"""),"11-217")</f>
        <v>11-217</v>
      </c>
      <c r="AB408" t="str">
        <f ca="1">IFERROR(__xludf.DUMMYFUNCTION("""COMPUTED_VALUE"""),"40 ОД")</f>
        <v>40 ОД</v>
      </c>
      <c r="AC408" t="str">
        <f ca="1">IFERROR(__xludf.DUMMYFUNCTION("""COMPUTED_VALUE"""),"41190 ПОМОШНАЯ")</f>
        <v>41190 ПОМОШНАЯ</v>
      </c>
      <c r="AD408" t="str">
        <f ca="1">IFERROR(__xludf.DUMMYFUNCTION("""COMPUTED_VALUE"""),"18.03.21 08-00")</f>
        <v>18.03.21 08-00</v>
      </c>
      <c r="AE408" t="str">
        <f ca="1">IFERROR(__xludf.DUMMYFUNCTION("""COMPUTED_VALUE"""),"102 ТOНКИЙ ГPEБEНЬ")</f>
        <v>102 ТOНКИЙ ГPEБEНЬ</v>
      </c>
      <c r="AF408" t="str">
        <f ca="1">IFERROR(__xludf.DUMMYFUNCTION("""COMPUTED_VALUE"""),"40 ОД")</f>
        <v>40 ОД</v>
      </c>
      <c r="AG408" t="str">
        <f ca="1">IFERROR(__xludf.DUMMYFUNCTION("""COMPUTED_VALUE"""),"41190 ПОМОШНАЯ")</f>
        <v>41190 ПОМОШНАЯ</v>
      </c>
      <c r="AH408" t="str">
        <f ca="1">IFERROR(__xludf.DUMMYFUNCTION("""COMPUTED_VALUE"""),"18.03.21 15-05")</f>
        <v>18.03.21 15-05</v>
      </c>
      <c r="AI408" s="21">
        <f ca="1">IFERROR(__xludf.DUMMYFUNCTION("""COMPUTED_VALUE"""),44420.3583449074)</f>
        <v>44420.358344907399</v>
      </c>
    </row>
    <row r="409" spans="1:35" ht="13" x14ac:dyDescent="0.15">
      <c r="A409">
        <f ca="1">IFERROR(__xludf.DUMMYFUNCTION("""COMPUTED_VALUE"""),1744)</f>
        <v>1744</v>
      </c>
      <c r="B409" t="str">
        <f ca="1">IFERROR(__xludf.DUMMYFUNCTION("""COMPUTED_VALUE"""),"ВИК")</f>
        <v>ВИК</v>
      </c>
      <c r="C409" t="str">
        <f ca="1">IFERROR(__xludf.DUMMYFUNCTION("""COMPUTED_VALUE"""),"ВИК")</f>
        <v>ВИК</v>
      </c>
      <c r="D409">
        <f ca="1">IFERROR(__xludf.DUMMYFUNCTION("""COMPUTED_VALUE"""),24546251)</f>
        <v>24546251</v>
      </c>
      <c r="E409" t="str">
        <f ca="1">IFERROR(__xludf.DUMMYFUNCTION("""COMPUTED_VALUE"""),"20 КРЫТЫЕ")</f>
        <v>20 КРЫТЫЕ</v>
      </c>
      <c r="F409">
        <f ca="1">IFERROR(__xludf.DUMMYFUNCTION("""COMPUTED_VALUE"""),42103)</f>
        <v>42103</v>
      </c>
      <c r="G409" t="str">
        <f ca="1">IFERROR(__xludf.DUMMYFUNCTION("""COMPUTED_VALUE"""),"ВАГОНЫ ЖД СВ")</f>
        <v>ВАГОНЫ ЖД СВ</v>
      </c>
      <c r="H409">
        <f ca="1">IFERROR(__xludf.DUMMYFUNCTION("""COMPUTED_VALUE"""),0)</f>
        <v>0</v>
      </c>
      <c r="I409">
        <f ca="1">IFERROR(__xludf.DUMMYFUNCTION("""COMPUTED_VALUE"""),4026)</f>
        <v>4026</v>
      </c>
      <c r="J409" t="str">
        <f ca="1">IFERROR(__xludf.DUMMYFUNCTION("""COMPUTED_VALUE"""),"3510 (48620-089-48630) ВОЛНОВАХА - ВЕЛИКО-АНАД")</f>
        <v>3510 (48620-089-48630) ВОЛНОВАХА - ВЕЛИКО-АНАД</v>
      </c>
      <c r="K409">
        <f ca="1">IFERROR(__xludf.DUMMYFUNCTION("""COMPUTED_VALUE"""),48630)</f>
        <v>48630</v>
      </c>
      <c r="L409" t="str">
        <f ca="1">IFERROR(__xludf.DUMMYFUNCTION("""COMPUTED_VALUE"""),"ВЕЛИКО-АНАД")</f>
        <v>ВЕЛИКО-АНАД</v>
      </c>
      <c r="M409" t="str">
        <f ca="1">IFERROR(__xludf.DUMMYFUNCTION("""COMPUTED_VALUE"""),"03.08.21 22-00")</f>
        <v>03.08.21 22-00</v>
      </c>
      <c r="N409" t="str">
        <f ca="1">IFERROR(__xludf.DUMMYFUNCTION("""COMPUTED_VALUE"""),"98 ОТОТ")</f>
        <v>98 ОТОТ</v>
      </c>
      <c r="O409">
        <f ca="1">IFERROR(__xludf.DUMMYFUNCTION("""COMPUTED_VALUE"""),48630)</f>
        <v>48630</v>
      </c>
      <c r="P409" t="str">
        <f ca="1">IFERROR(__xludf.DUMMYFUNCTION("""COMPUTED_VALUE"""),"ВЕЛИКО-АНАД")</f>
        <v>ВЕЛИКО-АНАД</v>
      </c>
      <c r="Q409">
        <f ca="1">IFERROR(__xludf.DUMMYFUNCTION("""COMPUTED_VALUE"""),40510)</f>
        <v>40510</v>
      </c>
      <c r="R409" t="str">
        <f ca="1">IFERROR(__xludf.DUMMYFUNCTION("""COMPUTED_VALUE"""),"ОДЕССА-ЗАС I")</f>
        <v>ОДЕССА-ЗАС I</v>
      </c>
      <c r="S409" t="str">
        <f ca="1">IFERROR(__xludf.DUMMYFUNCTION("""COMPUTED_VALUE"""),"25.07.21 09-50")</f>
        <v>25.07.21 09-50</v>
      </c>
      <c r="T409">
        <f ca="1">IFERROR(__xludf.DUMMYFUNCTION("""COMPUTED_VALUE"""),4456)</f>
        <v>4456</v>
      </c>
      <c r="U409" t="str">
        <f ca="1">IFERROR(__xludf.DUMMYFUNCTION("""COMPUTED_VALUE"""),"23.01.2022 ДР")</f>
        <v>23.01.2022 ДР</v>
      </c>
      <c r="AA409" t="str">
        <f ca="1">IFERROR(__xludf.DUMMYFUNCTION("""COMPUTED_VALUE"""),"11-217")</f>
        <v>11-217</v>
      </c>
      <c r="AB409" t="str">
        <f ca="1">IFERROR(__xludf.DUMMYFUNCTION("""COMPUTED_VALUE"""),"35 ЛЬВ")</f>
        <v>35 ЛЬВ</v>
      </c>
      <c r="AC409" t="str">
        <f ca="1">IFERROR(__xludf.DUMMYFUNCTION("""COMPUTED_VALUE"""),"35400 КОВЕЛЬ")</f>
        <v>35400 КОВЕЛЬ</v>
      </c>
      <c r="AD409" t="str">
        <f ca="1">IFERROR(__xludf.DUMMYFUNCTION("""COMPUTED_VALUE"""),"02.04.21 21-43")</f>
        <v>02.04.21 21-43</v>
      </c>
      <c r="AE409" t="str">
        <f ca="1">IFERROR(__xludf.DUMMYFUNCTION("""COMPUTED_VALUE"""),"445 ЗAВAP БAШМAКA")</f>
        <v>445 ЗAВAP БAШМAКA</v>
      </c>
      <c r="AF409" t="str">
        <f ca="1">IFERROR(__xludf.DUMMYFUNCTION("""COMPUTED_VALUE"""),"35 ЛЬВ")</f>
        <v>35 ЛЬВ</v>
      </c>
      <c r="AG409" t="str">
        <f ca="1">IFERROR(__xludf.DUMMYFUNCTION("""COMPUTED_VALUE"""),"35400 КОВЕЛЬ")</f>
        <v>35400 КОВЕЛЬ</v>
      </c>
      <c r="AH409" t="str">
        <f ca="1">IFERROR(__xludf.DUMMYFUNCTION("""COMPUTED_VALUE"""),"04.04.21 15-30")</f>
        <v>04.04.21 15-30</v>
      </c>
      <c r="AI409" s="21">
        <f ca="1">IFERROR(__xludf.DUMMYFUNCTION("""COMPUTED_VALUE"""),44420.3583449074)</f>
        <v>44420.358344907399</v>
      </c>
    </row>
    <row r="410" spans="1:35" ht="13" x14ac:dyDescent="0.15">
      <c r="A410">
        <f ca="1">IFERROR(__xludf.DUMMYFUNCTION("""COMPUTED_VALUE"""),1745)</f>
        <v>1745</v>
      </c>
      <c r="B410" t="str">
        <f ca="1">IFERROR(__xludf.DUMMYFUNCTION("""COMPUTED_VALUE"""),"ВИК")</f>
        <v>ВИК</v>
      </c>
      <c r="C410" t="str">
        <f ca="1">IFERROR(__xludf.DUMMYFUNCTION("""COMPUTED_VALUE"""),"ВИК")</f>
        <v>ВИК</v>
      </c>
      <c r="D410">
        <f ca="1">IFERROR(__xludf.DUMMYFUNCTION("""COMPUTED_VALUE"""),24552325)</f>
        <v>24552325</v>
      </c>
      <c r="E410" t="str">
        <f ca="1">IFERROR(__xludf.DUMMYFUNCTION("""COMPUTED_VALUE"""),"20 КРЫТЫЕ")</f>
        <v>20 КРЫТЫЕ</v>
      </c>
      <c r="F410">
        <f ca="1">IFERROR(__xludf.DUMMYFUNCTION("""COMPUTED_VALUE"""),23304)</f>
        <v>23304</v>
      </c>
      <c r="G410" t="str">
        <f ca="1">IFERROR(__xludf.DUMMYFUNCTION("""COMPUTED_VALUE"""),"ГИПС ПР")</f>
        <v>ГИПС ПР</v>
      </c>
      <c r="H410">
        <f ca="1">IFERROR(__xludf.DUMMYFUNCTION("""COMPUTED_VALUE"""),68)</f>
        <v>68</v>
      </c>
      <c r="I410">
        <f ca="1">IFERROR(__xludf.DUMMYFUNCTION("""COMPUTED_VALUE"""),3314)</f>
        <v>3314</v>
      </c>
      <c r="J410" t="str">
        <f ca="1">IFERROR(__xludf.DUMMYFUNCTION("""COMPUTED_VALUE"""),"2723 (44020-120-32000) ОСНОВА - ДАРНИЦА")</f>
        <v>2723 (44020-120-32000) ОСНОВА - ДАРНИЦА</v>
      </c>
      <c r="K410">
        <f ca="1">IFERROR(__xludf.DUMMYFUNCTION("""COMPUTED_VALUE"""),32000)</f>
        <v>32000</v>
      </c>
      <c r="L410" t="str">
        <f ca="1">IFERROR(__xludf.DUMMYFUNCTION("""COMPUTED_VALUE"""),"ДАРНИЦА")</f>
        <v>ДАРНИЦА</v>
      </c>
      <c r="M410" t="str">
        <f ca="1">IFERROR(__xludf.DUMMYFUNCTION("""COMPUTED_VALUE"""),"12.08.21 05-01")</f>
        <v>12.08.21 05-01</v>
      </c>
      <c r="N410" t="str">
        <f ca="1">IFERROR(__xludf.DUMMYFUNCTION("""COMPUTED_VALUE"""),"04 РАСФ")</f>
        <v>04 РАСФ</v>
      </c>
      <c r="O410">
        <f ca="1">IFERROR(__xludf.DUMMYFUNCTION("""COMPUTED_VALUE"""),32040)</f>
        <v>32040</v>
      </c>
      <c r="P410" t="str">
        <f ca="1">IFERROR(__xludf.DUMMYFUNCTION("""COMPUTED_VALUE"""),"ГРУШКИ")</f>
        <v>ГРУШКИ</v>
      </c>
      <c r="Q410">
        <f ca="1">IFERROR(__xludf.DUMMYFUNCTION("""COMPUTED_VALUE"""),49620)</f>
        <v>49620</v>
      </c>
      <c r="R410" t="str">
        <f ca="1">IFERROR(__xludf.DUMMYFUNCTION("""COMPUTED_VALUE"""),"ДЕКОНСКАЯ")</f>
        <v>ДЕКОНСКАЯ</v>
      </c>
      <c r="S410" t="str">
        <f ca="1">IFERROR(__xludf.DUMMYFUNCTION("""COMPUTED_VALUE"""),"08.08.21 00-05")</f>
        <v>08.08.21 00-05</v>
      </c>
      <c r="T410">
        <f ca="1">IFERROR(__xludf.DUMMYFUNCTION("""COMPUTED_VALUE"""),4149)</f>
        <v>4149</v>
      </c>
      <c r="U410" t="str">
        <f ca="1">IFERROR(__xludf.DUMMYFUNCTION("""COMPUTED_VALUE"""),"06.03.2022 ДР")</f>
        <v>06.03.2022 ДР</v>
      </c>
      <c r="AA410" t="str">
        <f ca="1">IFERROR(__xludf.DUMMYFUNCTION("""COMPUTED_VALUE"""),"11-217")</f>
        <v>11-217</v>
      </c>
      <c r="AB410" t="str">
        <f ca="1">IFERROR(__xludf.DUMMYFUNCTION("""COMPUTED_VALUE"""),"40 ОД")</f>
        <v>40 ОД</v>
      </c>
      <c r="AC410" t="str">
        <f ca="1">IFERROR(__xludf.DUMMYFUNCTION("""COMPUTED_VALUE"""),"41190 ПОМОШНАЯ")</f>
        <v>41190 ПОМОШНАЯ</v>
      </c>
      <c r="AD410" t="str">
        <f ca="1">IFERROR(__xludf.DUMMYFUNCTION("""COMPUTED_VALUE"""),"03.02.20 13-00")</f>
        <v>03.02.20 13-00</v>
      </c>
      <c r="AE410" t="str">
        <f ca="1">IFERROR(__xludf.DUMMYFUNCTION("""COMPUTED_VALUE"""),"570 ИCТEК КAЛЕНДАРНЫЙ CPOК ДEПOВCКОГО PEМOНТA")</f>
        <v>570 ИCТEК КAЛЕНДАРНЫЙ CPOК ДEПOВCКОГО PEМOНТA</v>
      </c>
      <c r="AF410" t="str">
        <f ca="1">IFERROR(__xludf.DUMMYFUNCTION("""COMPUTED_VALUE"""),"40 ОД")</f>
        <v>40 ОД</v>
      </c>
      <c r="AG410" t="str">
        <f ca="1">IFERROR(__xludf.DUMMYFUNCTION("""COMPUTED_VALUE"""),"41190 ПОМОШНАЯ")</f>
        <v>41190 ПОМОШНАЯ</v>
      </c>
      <c r="AH410" t="str">
        <f ca="1">IFERROR(__xludf.DUMMYFUNCTION("""COMPUTED_VALUE"""),"06.03.20 16-30")</f>
        <v>06.03.20 16-30</v>
      </c>
      <c r="AI410" s="21">
        <f ca="1">IFERROR(__xludf.DUMMYFUNCTION("""COMPUTED_VALUE"""),44420.3583449074)</f>
        <v>44420.358344907399</v>
      </c>
    </row>
    <row r="411" spans="1:35" ht="13" x14ac:dyDescent="0.15">
      <c r="A411">
        <f ca="1">IFERROR(__xludf.DUMMYFUNCTION("""COMPUTED_VALUE"""),1746)</f>
        <v>1746</v>
      </c>
      <c r="B411" t="str">
        <f ca="1">IFERROR(__xludf.DUMMYFUNCTION("""COMPUTED_VALUE"""),"ВИК")</f>
        <v>ВИК</v>
      </c>
      <c r="C411" t="str">
        <f ca="1">IFERROR(__xludf.DUMMYFUNCTION("""COMPUTED_VALUE"""),"ВИК")</f>
        <v>ВИК</v>
      </c>
      <c r="D411">
        <f ca="1">IFERROR(__xludf.DUMMYFUNCTION("""COMPUTED_VALUE"""),24552481)</f>
        <v>24552481</v>
      </c>
      <c r="E411" t="str">
        <f ca="1">IFERROR(__xludf.DUMMYFUNCTION("""COMPUTED_VALUE"""),"20 КРЫТЫЕ")</f>
        <v>20 КРЫТЫЕ</v>
      </c>
      <c r="F411">
        <f ca="1">IFERROR(__xludf.DUMMYFUNCTION("""COMPUTED_VALUE"""),42103)</f>
        <v>42103</v>
      </c>
      <c r="G411" t="str">
        <f ca="1">IFERROR(__xludf.DUMMYFUNCTION("""COMPUTED_VALUE"""),"ВАГОНЫ ЖД СВ")</f>
        <v>ВАГОНЫ ЖД СВ</v>
      </c>
      <c r="H411">
        <f ca="1">IFERROR(__xludf.DUMMYFUNCTION("""COMPUTED_VALUE"""),0)</f>
        <v>0</v>
      </c>
      <c r="I411">
        <f ca="1">IFERROR(__xludf.DUMMYFUNCTION("""COMPUTED_VALUE"""),4149)</f>
        <v>4149</v>
      </c>
      <c r="J411" t="str">
        <f ca="1">IFERROR(__xludf.DUMMYFUNCTION("""COMPUTED_VALUE"""),"1111 (32040-006-32050) ГРУШКИ - КИЕВ-ВОЛЫНСК")</f>
        <v>1111 (32040-006-32050) ГРУШКИ - КИЕВ-ВОЛЫНСК</v>
      </c>
      <c r="K411">
        <f ca="1">IFERROR(__xludf.DUMMYFUNCTION("""COMPUTED_VALUE"""),32040)</f>
        <v>32040</v>
      </c>
      <c r="L411" t="str">
        <f ca="1">IFERROR(__xludf.DUMMYFUNCTION("""COMPUTED_VALUE"""),"ГРУШКИ")</f>
        <v>ГРУШКИ</v>
      </c>
      <c r="M411" t="str">
        <f ca="1">IFERROR(__xludf.DUMMYFUNCTION("""COMPUTED_VALUE"""),"11.08.21 19-10")</f>
        <v>11.08.21 19-10</v>
      </c>
      <c r="N411" t="str">
        <f ca="1">IFERROR(__xludf.DUMMYFUNCTION("""COMPUTED_VALUE"""),"05 ФОРМ")</f>
        <v>05 ФОРМ</v>
      </c>
      <c r="O411">
        <f ca="1">IFERROR(__xludf.DUMMYFUNCTION("""COMPUTED_VALUE"""),49620)</f>
        <v>49620</v>
      </c>
      <c r="P411" t="str">
        <f ca="1">IFERROR(__xludf.DUMMYFUNCTION("""COMPUTED_VALUE"""),"ДЕКОНСКАЯ")</f>
        <v>ДЕКОНСКАЯ</v>
      </c>
      <c r="Q411">
        <f ca="1">IFERROR(__xludf.DUMMYFUNCTION("""COMPUTED_VALUE"""),32040)</f>
        <v>32040</v>
      </c>
      <c r="R411" t="str">
        <f ca="1">IFERROR(__xludf.DUMMYFUNCTION("""COMPUTED_VALUE"""),"ГРУШКИ")</f>
        <v>ГРУШКИ</v>
      </c>
      <c r="S411" t="str">
        <f ca="1">IFERROR(__xludf.DUMMYFUNCTION("""COMPUTED_VALUE"""),"11.08.21 08-00")</f>
        <v>11.08.21 08-00</v>
      </c>
      <c r="T411">
        <f ca="1">IFERROR(__xludf.DUMMYFUNCTION("""COMPUTED_VALUE"""),4456)</f>
        <v>4456</v>
      </c>
      <c r="U411" t="str">
        <f ca="1">IFERROR(__xludf.DUMMYFUNCTION("""COMPUTED_VALUE"""),"27.03.2023 ТР-1")</f>
        <v>27.03.2023 ТР-1</v>
      </c>
      <c r="AA411" t="str">
        <f ca="1">IFERROR(__xludf.DUMMYFUNCTION("""COMPUTED_VALUE"""),"11-217")</f>
        <v>11-217</v>
      </c>
      <c r="AB411" t="str">
        <f ca="1">IFERROR(__xludf.DUMMYFUNCTION("""COMPUTED_VALUE"""),"40 ОД")</f>
        <v>40 ОД</v>
      </c>
      <c r="AC411" t="str">
        <f ca="1">IFERROR(__xludf.DUMMYFUNCTION("""COMPUTED_VALUE"""),"41190 ПОМОШНАЯ")</f>
        <v>41190 ПОМОШНАЯ</v>
      </c>
      <c r="AD411" t="str">
        <f ca="1">IFERROR(__xludf.DUMMYFUNCTION("""COMPUTED_VALUE"""),"21.02.21 09-00")</f>
        <v>21.02.21 09-00</v>
      </c>
      <c r="AE411" t="str">
        <f ca="1">IFERROR(__xludf.DUMMYFUNCTION("""COMPUTED_VALUE"""),"570 ИCТEК КAЛЕНДАРНЫЙ CPOК ДEПOВCКОГО PEМOНТA")</f>
        <v>570 ИCТEК КAЛЕНДАРНЫЙ CPOК ДEПOВCКОГО PEМOНТA</v>
      </c>
      <c r="AF411" t="str">
        <f ca="1">IFERROR(__xludf.DUMMYFUNCTION("""COMPUTED_VALUE"""),"40 ОД")</f>
        <v>40 ОД</v>
      </c>
      <c r="AG411" t="str">
        <f ca="1">IFERROR(__xludf.DUMMYFUNCTION("""COMPUTED_VALUE"""),"41190 ПОМОШНАЯ")</f>
        <v>41190 ПОМОШНАЯ</v>
      </c>
      <c r="AH411" t="str">
        <f ca="1">IFERROR(__xludf.DUMMYFUNCTION("""COMPUTED_VALUE"""),"31.03.21 17-20")</f>
        <v>31.03.21 17-20</v>
      </c>
      <c r="AI411" s="21">
        <f ca="1">IFERROR(__xludf.DUMMYFUNCTION("""COMPUTED_VALUE"""),44420.3583449074)</f>
        <v>44420.358344907399</v>
      </c>
    </row>
    <row r="412" spans="1:35" ht="13" x14ac:dyDescent="0.15">
      <c r="A412">
        <f ca="1">IFERROR(__xludf.DUMMYFUNCTION("""COMPUTED_VALUE"""),1747)</f>
        <v>1747</v>
      </c>
      <c r="B412" t="str">
        <f ca="1">IFERROR(__xludf.DUMMYFUNCTION("""COMPUTED_VALUE"""),"ВИК")</f>
        <v>ВИК</v>
      </c>
      <c r="C412" t="str">
        <f ca="1">IFERROR(__xludf.DUMMYFUNCTION("""COMPUTED_VALUE"""),"ВИК")</f>
        <v>ВИК</v>
      </c>
      <c r="D412">
        <f ca="1">IFERROR(__xludf.DUMMYFUNCTION("""COMPUTED_VALUE"""),24552556)</f>
        <v>24552556</v>
      </c>
      <c r="E412" t="str">
        <f ca="1">IFERROR(__xludf.DUMMYFUNCTION("""COMPUTED_VALUE"""),"20 КРЫТЫЕ")</f>
        <v>20 КРЫТЫЕ</v>
      </c>
      <c r="F412">
        <f ca="1">IFERROR(__xludf.DUMMYFUNCTION("""COMPUTED_VALUE"""),42103)</f>
        <v>42103</v>
      </c>
      <c r="G412" t="str">
        <f ca="1">IFERROR(__xludf.DUMMYFUNCTION("""COMPUTED_VALUE"""),"ВАГОНЫ ЖД СВ")</f>
        <v>ВАГОНЫ ЖД СВ</v>
      </c>
      <c r="H412">
        <f ca="1">IFERROR(__xludf.DUMMYFUNCTION("""COMPUTED_VALUE"""),62)</f>
        <v>62</v>
      </c>
      <c r="I412">
        <f ca="1">IFERROR(__xludf.DUMMYFUNCTION("""COMPUTED_VALUE"""),4149)</f>
        <v>4149</v>
      </c>
      <c r="J412" t="str">
        <f ca="1">IFERROR(__xludf.DUMMYFUNCTION("""COMPUTED_VALUE"""),"3802 (49460-038-49640) БАХМУТ -")</f>
        <v>3802 (49460-038-49640) БАХМУТ -</v>
      </c>
      <c r="K412">
        <f ca="1">IFERROR(__xludf.DUMMYFUNCTION("""COMPUTED_VALUE"""),49620)</f>
        <v>49620</v>
      </c>
      <c r="L412" t="str">
        <f ca="1">IFERROR(__xludf.DUMMYFUNCTION("""COMPUTED_VALUE"""),"ДЕКОНСКАЯ")</f>
        <v>ДЕКОНСКАЯ</v>
      </c>
      <c r="M412" t="str">
        <f ca="1">IFERROR(__xludf.DUMMYFUNCTION("""COMPUTED_VALUE"""),"10.08.21 21-00")</f>
        <v>10.08.21 21-00</v>
      </c>
      <c r="N412" t="str">
        <f ca="1">IFERROR(__xludf.DUMMYFUNCTION("""COMPUTED_VALUE"""),"98 ОТОТ")</f>
        <v>98 ОТОТ</v>
      </c>
      <c r="O412">
        <f ca="1">IFERROR(__xludf.DUMMYFUNCTION("""COMPUTED_VALUE"""),49620)</f>
        <v>49620</v>
      </c>
      <c r="P412" t="str">
        <f ca="1">IFERROR(__xludf.DUMMYFUNCTION("""COMPUTED_VALUE"""),"ДЕКОНСКАЯ")</f>
        <v>ДЕКОНСКАЯ</v>
      </c>
      <c r="Q412">
        <f ca="1">IFERROR(__xludf.DUMMYFUNCTION("""COMPUTED_VALUE"""),46350)</f>
        <v>46350</v>
      </c>
      <c r="R412" t="str">
        <f ca="1">IFERROR(__xludf.DUMMYFUNCTION("""COMPUTED_VALUE"""),"ПЕРЕДАТОЧНАЯ")</f>
        <v>ПЕРЕДАТОЧНАЯ</v>
      </c>
      <c r="S412" t="str">
        <f ca="1">IFERROR(__xludf.DUMMYFUNCTION("""COMPUTED_VALUE"""),"29.06.21 17-20")</f>
        <v>29.06.21 17-20</v>
      </c>
      <c r="T412">
        <f ca="1">IFERROR(__xludf.DUMMYFUNCTION("""COMPUTED_VALUE"""),0)</f>
        <v>0</v>
      </c>
      <c r="U412" t="str">
        <f ca="1">IFERROR(__xludf.DUMMYFUNCTION("""COMPUTED_VALUE"""),"22.10.2021 ДР")</f>
        <v>22.10.2021 ДР</v>
      </c>
      <c r="AA412" t="str">
        <f ca="1">IFERROR(__xludf.DUMMYFUNCTION("""COMPUTED_VALUE"""),"11-217")</f>
        <v>11-217</v>
      </c>
      <c r="AB412" t="str">
        <f ca="1">IFERROR(__xludf.DUMMYFUNCTION("""COMPUTED_VALUE"""),"35 ЛЬВ")</f>
        <v>35 ЛЬВ</v>
      </c>
      <c r="AC412" t="str">
        <f ca="1">IFERROR(__xludf.DUMMYFUNCTION("""COMPUTED_VALUE"""),"35250 ИЗОВ")</f>
        <v>35250 ИЗОВ</v>
      </c>
      <c r="AD412" t="str">
        <f ca="1">IFERROR(__xludf.DUMMYFUNCTION("""COMPUTED_VALUE"""),"15.09.20 03-16")</f>
        <v>15.09.20 03-16</v>
      </c>
      <c r="AE412" t="str">
        <f ca="1">IFERROR(__xludf.DUMMYFUNCTION("""COMPUTED_VALUE"""),"405 НEИCПPAВНOCТЬ КOНЦEВOГO КPAНA")</f>
        <v>405 НEИCПPAВНOCТЬ КOНЦEВOГO КPAНA</v>
      </c>
      <c r="AF412" t="str">
        <f ca="1">IFERROR(__xludf.DUMMYFUNCTION("""COMPUTED_VALUE"""),"35 ЛЬВ")</f>
        <v>35 ЛЬВ</v>
      </c>
      <c r="AG412" t="str">
        <f ca="1">IFERROR(__xludf.DUMMYFUNCTION("""COMPUTED_VALUE"""),"35250 ИЗОВ")</f>
        <v>35250 ИЗОВ</v>
      </c>
      <c r="AH412" t="str">
        <f ca="1">IFERROR(__xludf.DUMMYFUNCTION("""COMPUTED_VALUE"""),"16.09.20 10-40")</f>
        <v>16.09.20 10-40</v>
      </c>
      <c r="AI412" s="21">
        <f ca="1">IFERROR(__xludf.DUMMYFUNCTION("""COMPUTED_VALUE"""),44420.3583449074)</f>
        <v>44420.358344907399</v>
      </c>
    </row>
    <row r="413" spans="1:35" ht="13" x14ac:dyDescent="0.15">
      <c r="A413">
        <f ca="1">IFERROR(__xludf.DUMMYFUNCTION("""COMPUTED_VALUE"""),1748)</f>
        <v>1748</v>
      </c>
      <c r="B413" t="str">
        <f ca="1">IFERROR(__xludf.DUMMYFUNCTION("""COMPUTED_VALUE"""),"ВИК")</f>
        <v>ВИК</v>
      </c>
      <c r="C413" t="str">
        <f ca="1">IFERROR(__xludf.DUMMYFUNCTION("""COMPUTED_VALUE"""),"ВИК")</f>
        <v>ВИК</v>
      </c>
      <c r="D413">
        <f ca="1">IFERROR(__xludf.DUMMYFUNCTION("""COMPUTED_VALUE"""),24596637)</f>
        <v>24596637</v>
      </c>
      <c r="E413" t="str">
        <f ca="1">IFERROR(__xludf.DUMMYFUNCTION("""COMPUTED_VALUE"""),"20 КРЫТЫЕ")</f>
        <v>20 КРЫТЫЕ</v>
      </c>
      <c r="F413">
        <f ca="1">IFERROR(__xludf.DUMMYFUNCTION("""COMPUTED_VALUE"""),42103)</f>
        <v>42103</v>
      </c>
      <c r="G413" t="str">
        <f ca="1">IFERROR(__xludf.DUMMYFUNCTION("""COMPUTED_VALUE"""),"ВАГОНЫ ЖД СВ")</f>
        <v>ВАГОНЫ ЖД СВ</v>
      </c>
      <c r="H413">
        <f ca="1">IFERROR(__xludf.DUMMYFUNCTION("""COMPUTED_VALUE"""),0)</f>
        <v>0</v>
      </c>
      <c r="I413">
        <f ca="1">IFERROR(__xludf.DUMMYFUNCTION("""COMPUTED_VALUE"""),4026)</f>
        <v>4026</v>
      </c>
      <c r="J413" t="str">
        <f ca="1">IFERROR(__xludf.DUMMYFUNCTION("""COMPUTED_VALUE"""),"3504 (48620-047-48630) ВОЛНОВАХА - ВЕЛИКО-АНАД")</f>
        <v>3504 (48620-047-48630) ВОЛНОВАХА - ВЕЛИКО-АНАД</v>
      </c>
      <c r="K413">
        <f ca="1">IFERROR(__xludf.DUMMYFUNCTION("""COMPUTED_VALUE"""),48630)</f>
        <v>48630</v>
      </c>
      <c r="L413" t="str">
        <f ca="1">IFERROR(__xludf.DUMMYFUNCTION("""COMPUTED_VALUE"""),"ВЕЛИКО-АНАД")</f>
        <v>ВЕЛИКО-АНАД</v>
      </c>
      <c r="M413" t="str">
        <f ca="1">IFERROR(__xludf.DUMMYFUNCTION("""COMPUTED_VALUE"""),"09.08.21 01-20")</f>
        <v>09.08.21 01-20</v>
      </c>
      <c r="N413" t="str">
        <f ca="1">IFERROR(__xludf.DUMMYFUNCTION("""COMPUTED_VALUE"""),"98 ОТОТ")</f>
        <v>98 ОТОТ</v>
      </c>
      <c r="O413">
        <f ca="1">IFERROR(__xludf.DUMMYFUNCTION("""COMPUTED_VALUE"""),48630)</f>
        <v>48630</v>
      </c>
      <c r="P413" t="str">
        <f ca="1">IFERROR(__xludf.DUMMYFUNCTION("""COMPUTED_VALUE"""),"ВЕЛИКО-АНАД")</f>
        <v>ВЕЛИКО-АНАД</v>
      </c>
      <c r="Q413">
        <f ca="1">IFERROR(__xludf.DUMMYFUNCTION("""COMPUTED_VALUE"""),32040)</f>
        <v>32040</v>
      </c>
      <c r="R413" t="str">
        <f ca="1">IFERROR(__xludf.DUMMYFUNCTION("""COMPUTED_VALUE"""),"ГРУШКИ")</f>
        <v>ГРУШКИ</v>
      </c>
      <c r="S413" t="str">
        <f ca="1">IFERROR(__xludf.DUMMYFUNCTION("""COMPUTED_VALUE"""),"26.07.21 15-55")</f>
        <v>26.07.21 15-55</v>
      </c>
      <c r="T413">
        <f ca="1">IFERROR(__xludf.DUMMYFUNCTION("""COMPUTED_VALUE"""),4456)</f>
        <v>4456</v>
      </c>
      <c r="U413" t="str">
        <f ca="1">IFERROR(__xludf.DUMMYFUNCTION("""COMPUTED_VALUE"""),"15.05.2022 ДР")</f>
        <v>15.05.2022 ДР</v>
      </c>
      <c r="AA413" t="str">
        <f ca="1">IFERROR(__xludf.DUMMYFUNCTION("""COMPUTED_VALUE"""),"11-217")</f>
        <v>11-217</v>
      </c>
      <c r="AB413" t="str">
        <f ca="1">IFERROR(__xludf.DUMMYFUNCTION("""COMPUTED_VALUE"""),"40 ОД")</f>
        <v>40 ОД</v>
      </c>
      <c r="AC413" t="str">
        <f ca="1">IFERROR(__xludf.DUMMYFUNCTION("""COMPUTED_VALUE"""),"41190 ПОМОШНАЯ")</f>
        <v>41190 ПОМОШНАЯ</v>
      </c>
      <c r="AD413" t="str">
        <f ca="1">IFERROR(__xludf.DUMMYFUNCTION("""COMPUTED_VALUE"""),"20.04.20 08-00")</f>
        <v>20.04.20 08-00</v>
      </c>
      <c r="AE413" t="str">
        <f ca="1">IFERROR(__xludf.DUMMYFUNCTION("""COMPUTED_VALUE"""),"570 ИCТEК КAЛЕНДАРНЫЙ CPOК ДEПOВCКОГО PEМOНТA")</f>
        <v>570 ИCТEК КAЛЕНДАРНЫЙ CPOК ДEПOВCКОГО PEМOНТA</v>
      </c>
      <c r="AF413" t="str">
        <f ca="1">IFERROR(__xludf.DUMMYFUNCTION("""COMPUTED_VALUE"""),"40 ОД")</f>
        <v>40 ОД</v>
      </c>
      <c r="AG413" t="str">
        <f ca="1">IFERROR(__xludf.DUMMYFUNCTION("""COMPUTED_VALUE"""),"41190 ПОМОШНАЯ")</f>
        <v>41190 ПОМОШНАЯ</v>
      </c>
      <c r="AH413" t="str">
        <f ca="1">IFERROR(__xludf.DUMMYFUNCTION("""COMPUTED_VALUE"""),"15.05.20 14-00")</f>
        <v>15.05.20 14-00</v>
      </c>
      <c r="AI413" s="21">
        <f ca="1">IFERROR(__xludf.DUMMYFUNCTION("""COMPUTED_VALUE"""),44420.3583449074)</f>
        <v>44420.358344907399</v>
      </c>
    </row>
    <row r="414" spans="1:35" ht="13" x14ac:dyDescent="0.15">
      <c r="A414">
        <f ca="1">IFERROR(__xludf.DUMMYFUNCTION("""COMPUTED_VALUE"""),1749)</f>
        <v>1749</v>
      </c>
      <c r="B414" t="str">
        <f ca="1">IFERROR(__xludf.DUMMYFUNCTION("""COMPUTED_VALUE"""),"ВИК")</f>
        <v>ВИК</v>
      </c>
      <c r="C414" t="str">
        <f ca="1">IFERROR(__xludf.DUMMYFUNCTION("""COMPUTED_VALUE"""),"ВИК")</f>
        <v>ВИК</v>
      </c>
      <c r="D414">
        <f ca="1">IFERROR(__xludf.DUMMYFUNCTION("""COMPUTED_VALUE"""),24596702)</f>
        <v>24596702</v>
      </c>
      <c r="E414" t="str">
        <f ca="1">IFERROR(__xludf.DUMMYFUNCTION("""COMPUTED_VALUE"""),"20 КРЫТЫЕ")</f>
        <v>20 КРЫТЫЕ</v>
      </c>
      <c r="F414">
        <f ca="1">IFERROR(__xludf.DUMMYFUNCTION("""COMPUTED_VALUE"""),42103)</f>
        <v>42103</v>
      </c>
      <c r="G414" t="str">
        <f ca="1">IFERROR(__xludf.DUMMYFUNCTION("""COMPUTED_VALUE"""),"ВАГОНЫ ЖД СВ")</f>
        <v>ВАГОНЫ ЖД СВ</v>
      </c>
      <c r="H414">
        <f ca="1">IFERROR(__xludf.DUMMYFUNCTION("""COMPUTED_VALUE"""),0)</f>
        <v>0</v>
      </c>
      <c r="I414">
        <f ca="1">IFERROR(__xludf.DUMMYFUNCTION("""COMPUTED_VALUE"""),4149)</f>
        <v>4149</v>
      </c>
      <c r="J414" t="str">
        <f ca="1">IFERROR(__xludf.DUMMYFUNCTION("""COMPUTED_VALUE"""),"3895 (32000-279-32120) ДАРНИЦА - ВАСИЛЬКОВ I")</f>
        <v>3895 (32000-279-32120) ДАРНИЦА - ВАСИЛЬКОВ I</v>
      </c>
      <c r="K414">
        <f ca="1">IFERROR(__xludf.DUMMYFUNCTION("""COMPUTED_VALUE"""),32120)</f>
        <v>32120</v>
      </c>
      <c r="L414" t="str">
        <f ca="1">IFERROR(__xludf.DUMMYFUNCTION("""COMPUTED_VALUE"""),"ВАСИЛЬКОВ I")</f>
        <v>ВАСИЛЬКОВ I</v>
      </c>
      <c r="M414" t="str">
        <f ca="1">IFERROR(__xludf.DUMMYFUNCTION("""COMPUTED_VALUE"""),"10.08.21 03-45")</f>
        <v>10.08.21 03-45</v>
      </c>
      <c r="N414" t="str">
        <f ca="1">IFERROR(__xludf.DUMMYFUNCTION("""COMPUTED_VALUE"""),"91 ПРДР")</f>
        <v>91 ПРДР</v>
      </c>
      <c r="O414">
        <f ca="1">IFERROR(__xludf.DUMMYFUNCTION("""COMPUTED_VALUE"""),49620)</f>
        <v>49620</v>
      </c>
      <c r="P414" t="str">
        <f ca="1">IFERROR(__xludf.DUMMYFUNCTION("""COMPUTED_VALUE"""),"ДЕКОНСКАЯ")</f>
        <v>ДЕКОНСКАЯ</v>
      </c>
      <c r="Q414">
        <f ca="1">IFERROR(__xludf.DUMMYFUNCTION("""COMPUTED_VALUE"""),32120)</f>
        <v>32120</v>
      </c>
      <c r="R414" t="str">
        <f ca="1">IFERROR(__xludf.DUMMYFUNCTION("""COMPUTED_VALUE"""),"ВАСИЛЬКОВ I")</f>
        <v>ВАСИЛЬКОВ I</v>
      </c>
      <c r="S414" t="str">
        <f ca="1">IFERROR(__xludf.DUMMYFUNCTION("""COMPUTED_VALUE"""),"10.08.21 01-00")</f>
        <v>10.08.21 01-00</v>
      </c>
      <c r="T414">
        <f ca="1">IFERROR(__xludf.DUMMYFUNCTION("""COMPUTED_VALUE"""),4456)</f>
        <v>4456</v>
      </c>
      <c r="U414" t="str">
        <f ca="1">IFERROR(__xludf.DUMMYFUNCTION("""COMPUTED_VALUE"""),"25.02.2023 ДР")</f>
        <v>25.02.2023 ДР</v>
      </c>
      <c r="AA414" t="str">
        <f ca="1">IFERROR(__xludf.DUMMYFUNCTION("""COMPUTED_VALUE"""),"11-217")</f>
        <v>11-217</v>
      </c>
      <c r="AB414" t="str">
        <f ca="1">IFERROR(__xludf.DUMMYFUNCTION("""COMPUTED_VALUE"""),"40 ОД")</f>
        <v>40 ОД</v>
      </c>
      <c r="AC414" t="str">
        <f ca="1">IFERROR(__xludf.DUMMYFUNCTION("""COMPUTED_VALUE"""),"41190 ПОМОШНАЯ")</f>
        <v>41190 ПОМОШНАЯ</v>
      </c>
      <c r="AD414" t="str">
        <f ca="1">IFERROR(__xludf.DUMMYFUNCTION("""COMPUTED_VALUE"""),"28.01.21 15-00")</f>
        <v>28.01.21 15-00</v>
      </c>
      <c r="AE414" t="str">
        <f ca="1">IFERROR(__xludf.DUMMYFUNCTION("""COMPUTED_VALUE"""),"570 ИCТEК КAЛЕНДАРНЫЙ CPOК ДEПOВCКОГО PEМOНТA")</f>
        <v>570 ИCТEК КAЛЕНДАРНЫЙ CPOК ДEПOВCКОГО PEМOНТA</v>
      </c>
      <c r="AF414" t="str">
        <f ca="1">IFERROR(__xludf.DUMMYFUNCTION("""COMPUTED_VALUE"""),"40 ОД")</f>
        <v>40 ОД</v>
      </c>
      <c r="AG414" t="str">
        <f ca="1">IFERROR(__xludf.DUMMYFUNCTION("""COMPUTED_VALUE"""),"41190 ПОМОШНАЯ")</f>
        <v>41190 ПОМОШНАЯ</v>
      </c>
      <c r="AH414" t="str">
        <f ca="1">IFERROR(__xludf.DUMMYFUNCTION("""COMPUTED_VALUE"""),"25.02.21 18-30")</f>
        <v>25.02.21 18-30</v>
      </c>
      <c r="AI414" s="21">
        <f ca="1">IFERROR(__xludf.DUMMYFUNCTION("""COMPUTED_VALUE"""),44420.3583449074)</f>
        <v>44420.358344907399</v>
      </c>
    </row>
    <row r="415" spans="1:35" ht="13" x14ac:dyDescent="0.15">
      <c r="A415">
        <f ca="1">IFERROR(__xludf.DUMMYFUNCTION("""COMPUTED_VALUE"""),1750)</f>
        <v>1750</v>
      </c>
      <c r="B415" t="str">
        <f ca="1">IFERROR(__xludf.DUMMYFUNCTION("""COMPUTED_VALUE"""),"ВИК")</f>
        <v>ВИК</v>
      </c>
      <c r="C415" t="str">
        <f ca="1">IFERROR(__xludf.DUMMYFUNCTION("""COMPUTED_VALUE"""),"ВИК")</f>
        <v>ВИК</v>
      </c>
      <c r="D415">
        <f ca="1">IFERROR(__xludf.DUMMYFUNCTION("""COMPUTED_VALUE"""),24596777)</f>
        <v>24596777</v>
      </c>
      <c r="E415" t="str">
        <f ca="1">IFERROR(__xludf.DUMMYFUNCTION("""COMPUTED_VALUE"""),"20 КРЫТЫЕ")</f>
        <v>20 КРЫТЫЕ</v>
      </c>
      <c r="F415">
        <f ca="1">IFERROR(__xludf.DUMMYFUNCTION("""COMPUTED_VALUE"""),23304)</f>
        <v>23304</v>
      </c>
      <c r="G415" t="str">
        <f ca="1">IFERROR(__xludf.DUMMYFUNCTION("""COMPUTED_VALUE"""),"ГИПС ПР")</f>
        <v>ГИПС ПР</v>
      </c>
      <c r="H415">
        <f ca="1">IFERROR(__xludf.DUMMYFUNCTION("""COMPUTED_VALUE"""),68)</f>
        <v>68</v>
      </c>
      <c r="I415">
        <f ca="1">IFERROR(__xludf.DUMMYFUNCTION("""COMPUTED_VALUE"""),3314)</f>
        <v>3314</v>
      </c>
      <c r="J415" t="str">
        <f ca="1">IFERROR(__xludf.DUMMYFUNCTION("""COMPUTED_VALUE"""),"2723 (44020-120-32000) ОСНОВА - ДАРНИЦА")</f>
        <v>2723 (44020-120-32000) ОСНОВА - ДАРНИЦА</v>
      </c>
      <c r="K415">
        <f ca="1">IFERROR(__xludf.DUMMYFUNCTION("""COMPUTED_VALUE"""),32000)</f>
        <v>32000</v>
      </c>
      <c r="L415" t="str">
        <f ca="1">IFERROR(__xludf.DUMMYFUNCTION("""COMPUTED_VALUE"""),"ДАРНИЦА")</f>
        <v>ДАРНИЦА</v>
      </c>
      <c r="M415" t="str">
        <f ca="1">IFERROR(__xludf.DUMMYFUNCTION("""COMPUTED_VALUE"""),"12.08.21 05-01")</f>
        <v>12.08.21 05-01</v>
      </c>
      <c r="N415" t="str">
        <f ca="1">IFERROR(__xludf.DUMMYFUNCTION("""COMPUTED_VALUE"""),"04 РАСФ")</f>
        <v>04 РАСФ</v>
      </c>
      <c r="O415">
        <f ca="1">IFERROR(__xludf.DUMMYFUNCTION("""COMPUTED_VALUE"""),32040)</f>
        <v>32040</v>
      </c>
      <c r="P415" t="str">
        <f ca="1">IFERROR(__xludf.DUMMYFUNCTION("""COMPUTED_VALUE"""),"ГРУШКИ")</f>
        <v>ГРУШКИ</v>
      </c>
      <c r="Q415">
        <f ca="1">IFERROR(__xludf.DUMMYFUNCTION("""COMPUTED_VALUE"""),49620)</f>
        <v>49620</v>
      </c>
      <c r="R415" t="str">
        <f ca="1">IFERROR(__xludf.DUMMYFUNCTION("""COMPUTED_VALUE"""),"ДЕКОНСКАЯ")</f>
        <v>ДЕКОНСКАЯ</v>
      </c>
      <c r="S415" t="str">
        <f ca="1">IFERROR(__xludf.DUMMYFUNCTION("""COMPUTED_VALUE"""),"08.08.21 00-05")</f>
        <v>08.08.21 00-05</v>
      </c>
      <c r="T415">
        <f ca="1">IFERROR(__xludf.DUMMYFUNCTION("""COMPUTED_VALUE"""),4149)</f>
        <v>4149</v>
      </c>
      <c r="U415" t="str">
        <f ca="1">IFERROR(__xludf.DUMMYFUNCTION("""COMPUTED_VALUE"""),"26.06.2022 ДР")</f>
        <v>26.06.2022 ДР</v>
      </c>
      <c r="AA415" t="str">
        <f ca="1">IFERROR(__xludf.DUMMYFUNCTION("""COMPUTED_VALUE"""),"11-217")</f>
        <v>11-217</v>
      </c>
      <c r="AB415" t="str">
        <f ca="1">IFERROR(__xludf.DUMMYFUNCTION("""COMPUTED_VALUE"""),"40 ОД")</f>
        <v>40 ОД</v>
      </c>
      <c r="AC415" t="str">
        <f ca="1">IFERROR(__xludf.DUMMYFUNCTION("""COMPUTED_VALUE"""),"41190 ПОМОШНАЯ")</f>
        <v>41190 ПОМОШНАЯ</v>
      </c>
      <c r="AD415" t="str">
        <f ca="1">IFERROR(__xludf.DUMMYFUNCTION("""COMPUTED_VALUE"""),"20.03.21 09-00")</f>
        <v>20.03.21 09-00</v>
      </c>
      <c r="AE415" t="str">
        <f ca="1">IFERROR(__xludf.DUMMYFUNCTION("""COMPUTED_VALUE"""),"102 ТOНКИЙ ГPEБEНЬ")</f>
        <v>102 ТOНКИЙ ГPEБEНЬ</v>
      </c>
      <c r="AF415" t="str">
        <f ca="1">IFERROR(__xludf.DUMMYFUNCTION("""COMPUTED_VALUE"""),"40 ОД")</f>
        <v>40 ОД</v>
      </c>
      <c r="AG415" t="str">
        <f ca="1">IFERROR(__xludf.DUMMYFUNCTION("""COMPUTED_VALUE"""),"41190 ПОМОШНАЯ")</f>
        <v>41190 ПОМОШНАЯ</v>
      </c>
      <c r="AH415" t="str">
        <f ca="1">IFERROR(__xludf.DUMMYFUNCTION("""COMPUTED_VALUE"""),"20.03.21 17-10")</f>
        <v>20.03.21 17-10</v>
      </c>
      <c r="AI415" s="21">
        <f ca="1">IFERROR(__xludf.DUMMYFUNCTION("""COMPUTED_VALUE"""),44420.3583449074)</f>
        <v>44420.358344907399</v>
      </c>
    </row>
    <row r="416" spans="1:35" ht="13" x14ac:dyDescent="0.15">
      <c r="A416">
        <f ca="1">IFERROR(__xludf.DUMMYFUNCTION("""COMPUTED_VALUE"""),1751)</f>
        <v>1751</v>
      </c>
      <c r="B416" t="str">
        <f ca="1">IFERROR(__xludf.DUMMYFUNCTION("""COMPUTED_VALUE"""),"ВИК")</f>
        <v>ВИК</v>
      </c>
      <c r="C416" t="str">
        <f ca="1">IFERROR(__xludf.DUMMYFUNCTION("""COMPUTED_VALUE"""),"ВИК")</f>
        <v>ВИК</v>
      </c>
      <c r="D416">
        <f ca="1">IFERROR(__xludf.DUMMYFUNCTION("""COMPUTED_VALUE"""),24596785)</f>
        <v>24596785</v>
      </c>
      <c r="E416" t="str">
        <f ca="1">IFERROR(__xludf.DUMMYFUNCTION("""COMPUTED_VALUE"""),"20 КРЫТЫЕ")</f>
        <v>20 КРЫТЫЕ</v>
      </c>
      <c r="F416">
        <f ca="1">IFERROR(__xludf.DUMMYFUNCTION("""COMPUTED_VALUE"""),23304)</f>
        <v>23304</v>
      </c>
      <c r="G416" t="str">
        <f ca="1">IFERROR(__xludf.DUMMYFUNCTION("""COMPUTED_VALUE"""),"ГИПС ПР")</f>
        <v>ГИПС ПР</v>
      </c>
      <c r="H416">
        <f ca="1">IFERROR(__xludf.DUMMYFUNCTION("""COMPUTED_VALUE"""),68)</f>
        <v>68</v>
      </c>
      <c r="I416">
        <f ca="1">IFERROR(__xludf.DUMMYFUNCTION("""COMPUTED_VALUE"""),3314)</f>
        <v>3314</v>
      </c>
      <c r="J416" t="str">
        <f ca="1">IFERROR(__xludf.DUMMYFUNCTION("""COMPUTED_VALUE"""),"2723 (44020-120-32000) ОСНОВА - ДАРНИЦА")</f>
        <v>2723 (44020-120-32000) ОСНОВА - ДАРНИЦА</v>
      </c>
      <c r="K416">
        <f ca="1">IFERROR(__xludf.DUMMYFUNCTION("""COMPUTED_VALUE"""),32000)</f>
        <v>32000</v>
      </c>
      <c r="L416" t="str">
        <f ca="1">IFERROR(__xludf.DUMMYFUNCTION("""COMPUTED_VALUE"""),"ДАРНИЦА")</f>
        <v>ДАРНИЦА</v>
      </c>
      <c r="M416" t="str">
        <f ca="1">IFERROR(__xludf.DUMMYFUNCTION("""COMPUTED_VALUE"""),"12.08.21 05-01")</f>
        <v>12.08.21 05-01</v>
      </c>
      <c r="N416" t="str">
        <f ca="1">IFERROR(__xludf.DUMMYFUNCTION("""COMPUTED_VALUE"""),"04 РАСФ")</f>
        <v>04 РАСФ</v>
      </c>
      <c r="O416">
        <f ca="1">IFERROR(__xludf.DUMMYFUNCTION("""COMPUTED_VALUE"""),32040)</f>
        <v>32040</v>
      </c>
      <c r="P416" t="str">
        <f ca="1">IFERROR(__xludf.DUMMYFUNCTION("""COMPUTED_VALUE"""),"ГРУШКИ")</f>
        <v>ГРУШКИ</v>
      </c>
      <c r="Q416">
        <f ca="1">IFERROR(__xludf.DUMMYFUNCTION("""COMPUTED_VALUE"""),49620)</f>
        <v>49620</v>
      </c>
      <c r="R416" t="str">
        <f ca="1">IFERROR(__xludf.DUMMYFUNCTION("""COMPUTED_VALUE"""),"ДЕКОНСКАЯ")</f>
        <v>ДЕКОНСКАЯ</v>
      </c>
      <c r="S416" t="str">
        <f ca="1">IFERROR(__xludf.DUMMYFUNCTION("""COMPUTED_VALUE"""),"07.08.21 21-30")</f>
        <v>07.08.21 21-30</v>
      </c>
      <c r="T416">
        <f ca="1">IFERROR(__xludf.DUMMYFUNCTION("""COMPUTED_VALUE"""),4149)</f>
        <v>4149</v>
      </c>
      <c r="U416" t="str">
        <f ca="1">IFERROR(__xludf.DUMMYFUNCTION("""COMPUTED_VALUE"""),"26.06.2022 ДР")</f>
        <v>26.06.2022 ДР</v>
      </c>
      <c r="AA416" t="str">
        <f ca="1">IFERROR(__xludf.DUMMYFUNCTION("""COMPUTED_VALUE"""),"11-217")</f>
        <v>11-217</v>
      </c>
      <c r="AB416" t="str">
        <f ca="1">IFERROR(__xludf.DUMMYFUNCTION("""COMPUTED_VALUE"""),"40 ОД")</f>
        <v>40 ОД</v>
      </c>
      <c r="AC416" t="str">
        <f ca="1">IFERROR(__xludf.DUMMYFUNCTION("""COMPUTED_VALUE"""),"41190 ПОМОШНАЯ")</f>
        <v>41190 ПОМОШНАЯ</v>
      </c>
      <c r="AD416" t="str">
        <f ca="1">IFERROR(__xludf.DUMMYFUNCTION("""COMPUTED_VALUE"""),"15.06.20 15-00")</f>
        <v>15.06.20 15-00</v>
      </c>
      <c r="AE416" t="str">
        <f ca="1">IFERROR(__xludf.DUMMYFUNCTION("""COMPUTED_VALUE"""),"570 ИCТEК КAЛЕНДАРНЫЙ CPOК ДEПOВCКОГО PEМOНТA")</f>
        <v>570 ИCТEК КAЛЕНДАРНЫЙ CPOК ДEПOВCКОГО PEМOНТA</v>
      </c>
      <c r="AF416" t="str">
        <f ca="1">IFERROR(__xludf.DUMMYFUNCTION("""COMPUTED_VALUE"""),"40 ОД")</f>
        <v>40 ОД</v>
      </c>
      <c r="AG416" t="str">
        <f ca="1">IFERROR(__xludf.DUMMYFUNCTION("""COMPUTED_VALUE"""),"41190 ПОМОШНАЯ")</f>
        <v>41190 ПОМОШНАЯ</v>
      </c>
      <c r="AH416" t="str">
        <f ca="1">IFERROR(__xludf.DUMMYFUNCTION("""COMPUTED_VALUE"""),"26.06.20 16-00")</f>
        <v>26.06.20 16-00</v>
      </c>
      <c r="AI416" s="21">
        <f ca="1">IFERROR(__xludf.DUMMYFUNCTION("""COMPUTED_VALUE"""),44420.3583449074)</f>
        <v>44420.358344907399</v>
      </c>
    </row>
    <row r="417" spans="1:35" ht="13" x14ac:dyDescent="0.15">
      <c r="A417">
        <f ca="1">IFERROR(__xludf.DUMMYFUNCTION("""COMPUTED_VALUE"""),1752)</f>
        <v>1752</v>
      </c>
      <c r="B417" t="str">
        <f ca="1">IFERROR(__xludf.DUMMYFUNCTION("""COMPUTED_VALUE"""),"ВИК")</f>
        <v>ВИК</v>
      </c>
      <c r="C417" t="str">
        <f ca="1">IFERROR(__xludf.DUMMYFUNCTION("""COMPUTED_VALUE"""),"ВИК")</f>
        <v>ВИК</v>
      </c>
      <c r="D417">
        <f ca="1">IFERROR(__xludf.DUMMYFUNCTION("""COMPUTED_VALUE"""),26003194)</f>
        <v>26003194</v>
      </c>
      <c r="E417" t="str">
        <f ca="1">IFERROR(__xludf.DUMMYFUNCTION("""COMPUTED_VALUE"""),"20 КРЫТЫЕ")</f>
        <v>20 КРЫТЫЕ</v>
      </c>
      <c r="F417">
        <f ca="1">IFERROR(__xludf.DUMMYFUNCTION("""COMPUTED_VALUE"""),42103)</f>
        <v>42103</v>
      </c>
      <c r="G417" t="str">
        <f ca="1">IFERROR(__xludf.DUMMYFUNCTION("""COMPUTED_VALUE"""),"ВАГОНЫ ЖД СВ")</f>
        <v>ВАГОНЫ ЖД СВ</v>
      </c>
      <c r="H417">
        <f ca="1">IFERROR(__xludf.DUMMYFUNCTION("""COMPUTED_VALUE"""),61)</f>
        <v>61</v>
      </c>
      <c r="I417">
        <f ca="1">IFERROR(__xludf.DUMMYFUNCTION("""COMPUTED_VALUE"""),4714)</f>
        <v>4714</v>
      </c>
      <c r="J417" t="str">
        <f ca="1">IFERROR(__xludf.DUMMYFUNCTION("""COMPUTED_VALUE"""),"3505 (49000-069-49460) ЛИМАН - БАХМУТ")</f>
        <v>3505 (49000-069-49460) ЛИМАН - БАХМУТ</v>
      </c>
      <c r="K417">
        <f ca="1">IFERROR(__xludf.DUMMYFUNCTION("""COMPUTED_VALUE"""),49480)</f>
        <v>49480</v>
      </c>
      <c r="L417" t="str">
        <f ca="1">IFERROR(__xludf.DUMMYFUNCTION("""COMPUTED_VALUE"""),"СОЛЬ")</f>
        <v>СОЛЬ</v>
      </c>
      <c r="M417" t="str">
        <f ca="1">IFERROR(__xludf.DUMMYFUNCTION("""COMPUTED_VALUE"""),"28.07.21 08-55")</f>
        <v>28.07.21 08-55</v>
      </c>
      <c r="N417" t="str">
        <f ca="1">IFERROR(__xludf.DUMMYFUNCTION("""COMPUTED_VALUE"""),"98 ОТОТ")</f>
        <v>98 ОТОТ</v>
      </c>
      <c r="O417">
        <f ca="1">IFERROR(__xludf.DUMMYFUNCTION("""COMPUTED_VALUE"""),49480)</f>
        <v>49480</v>
      </c>
      <c r="P417" t="str">
        <f ca="1">IFERROR(__xludf.DUMMYFUNCTION("""COMPUTED_VALUE"""),"СОЛЬ")</f>
        <v>СОЛЬ</v>
      </c>
      <c r="Q417">
        <f ca="1">IFERROR(__xludf.DUMMYFUNCTION("""COMPUTED_VALUE"""),40200)</f>
        <v>40200</v>
      </c>
      <c r="R417" t="str">
        <f ca="1">IFERROR(__xludf.DUMMYFUNCTION("""COMPUTED_VALUE"""),"ЧЕРНОМОРСК-П")</f>
        <v>ЧЕРНОМОРСК-П</v>
      </c>
      <c r="S417" t="str">
        <f ca="1">IFERROR(__xludf.DUMMYFUNCTION("""COMPUTED_VALUE"""),"05.07.21 21-33")</f>
        <v>05.07.21 21-33</v>
      </c>
      <c r="T417">
        <f ca="1">IFERROR(__xludf.DUMMYFUNCTION("""COMPUTED_VALUE"""),0)</f>
        <v>0</v>
      </c>
      <c r="U417" t="str">
        <f ca="1">IFERROR(__xludf.DUMMYFUNCTION("""COMPUTED_VALUE"""),"08.08.2023 ТР-1")</f>
        <v>08.08.2023 ТР-1</v>
      </c>
      <c r="AA417" t="str">
        <f ca="1">IFERROR(__xludf.DUMMYFUNCTION("""COMPUTED_VALUE"""),"11-264")</f>
        <v>11-264</v>
      </c>
      <c r="AB417" t="str">
        <f ca="1">IFERROR(__xludf.DUMMYFUNCTION("""COMPUTED_VALUE"""),"48 ДОН")</f>
        <v>48 ДОН</v>
      </c>
      <c r="AC417" t="str">
        <f ca="1">IFERROR(__xludf.DUMMYFUNCTION("""COMPUTED_VALUE"""),"49480 СОЛЬ")</f>
        <v>49480 СОЛЬ</v>
      </c>
      <c r="AD417" t="str">
        <f ca="1">IFERROR(__xludf.DUMMYFUNCTION("""COMPUTED_VALUE"""),"19.05.21 23-20")</f>
        <v>19.05.21 23-20</v>
      </c>
      <c r="AE417" t="str">
        <f ca="1">IFERROR(__xludf.DUMMYFUNCTION("""COMPUTED_VALUE"""),"445 ЗAВAP БAШМAКA")</f>
        <v>445 ЗAВAP БAШМAКA</v>
      </c>
      <c r="AF417" t="str">
        <f ca="1">IFERROR(__xludf.DUMMYFUNCTION("""COMPUTED_VALUE"""),"48 ДОН")</f>
        <v>48 ДОН</v>
      </c>
      <c r="AG417" t="str">
        <f ca="1">IFERROR(__xludf.DUMMYFUNCTION("""COMPUTED_VALUE"""),"49480 СОЛЬ")</f>
        <v>49480 СОЛЬ</v>
      </c>
      <c r="AH417" t="str">
        <f ca="1">IFERROR(__xludf.DUMMYFUNCTION("""COMPUTED_VALUE"""),"21.05.21 16-30")</f>
        <v>21.05.21 16-30</v>
      </c>
      <c r="AI417" s="21">
        <f ca="1">IFERROR(__xludf.DUMMYFUNCTION("""COMPUTED_VALUE"""),44420.3583449074)</f>
        <v>44420.358344907399</v>
      </c>
    </row>
    <row r="418" spans="1:35" ht="13" x14ac:dyDescent="0.15">
      <c r="A418">
        <f ca="1">IFERROR(__xludf.DUMMYFUNCTION("""COMPUTED_VALUE"""),1753)</f>
        <v>1753</v>
      </c>
      <c r="B418" t="str">
        <f ca="1">IFERROR(__xludf.DUMMYFUNCTION("""COMPUTED_VALUE"""),"ВИК")</f>
        <v>ВИК</v>
      </c>
      <c r="C418" t="str">
        <f ca="1">IFERROR(__xludf.DUMMYFUNCTION("""COMPUTED_VALUE"""),"ВИК")</f>
        <v>ВИК</v>
      </c>
      <c r="D418">
        <f ca="1">IFERROR(__xludf.DUMMYFUNCTION("""COMPUTED_VALUE"""),26074997)</f>
        <v>26074997</v>
      </c>
      <c r="E418" t="str">
        <f ca="1">IFERROR(__xludf.DUMMYFUNCTION("""COMPUTED_VALUE"""),"20 КРЫТЫЕ")</f>
        <v>20 КРЫТЫЕ</v>
      </c>
      <c r="F418">
        <f ca="1">IFERROR(__xludf.DUMMYFUNCTION("""COMPUTED_VALUE"""),42103)</f>
        <v>42103</v>
      </c>
      <c r="G418" t="str">
        <f ca="1">IFERROR(__xludf.DUMMYFUNCTION("""COMPUTED_VALUE"""),"ВАГОНЫ ЖД СВ")</f>
        <v>ВАГОНЫ ЖД СВ</v>
      </c>
      <c r="H418">
        <f ca="1">IFERROR(__xludf.DUMMYFUNCTION("""COMPUTED_VALUE"""),0)</f>
        <v>0</v>
      </c>
      <c r="I418">
        <f ca="1">IFERROR(__xludf.DUMMYFUNCTION("""COMPUTED_VALUE"""),4149)</f>
        <v>4149</v>
      </c>
      <c r="J418" t="str">
        <f ca="1">IFERROR(__xludf.DUMMYFUNCTION("""COMPUTED_VALUE"""),"3802 (49640-064-49620)  - ДЕКОНСКАЯ")</f>
        <v>3802 (49640-064-49620)  - ДЕКОНСКАЯ</v>
      </c>
      <c r="K418">
        <f ca="1">IFERROR(__xludf.DUMMYFUNCTION("""COMPUTED_VALUE"""),49620)</f>
        <v>49620</v>
      </c>
      <c r="L418" t="str">
        <f ca="1">IFERROR(__xludf.DUMMYFUNCTION("""COMPUTED_VALUE"""),"ДЕКОНСКАЯ")</f>
        <v>ДЕКОНСКАЯ</v>
      </c>
      <c r="M418" t="str">
        <f ca="1">IFERROR(__xludf.DUMMYFUNCTION("""COMPUTED_VALUE"""),"08.08.21 11-00")</f>
        <v>08.08.21 11-00</v>
      </c>
      <c r="N418" t="str">
        <f ca="1">IFERROR(__xludf.DUMMYFUNCTION("""COMPUTED_VALUE"""),"98 ОТОТ")</f>
        <v>98 ОТОТ</v>
      </c>
      <c r="O418">
        <f ca="1">IFERROR(__xludf.DUMMYFUNCTION("""COMPUTED_VALUE"""),49620)</f>
        <v>49620</v>
      </c>
      <c r="P418" t="str">
        <f ca="1">IFERROR(__xludf.DUMMYFUNCTION("""COMPUTED_VALUE"""),"ДЕКОНСКАЯ")</f>
        <v>ДЕКОНСКАЯ</v>
      </c>
      <c r="Q418">
        <f ca="1">IFERROR(__xludf.DUMMYFUNCTION("""COMPUTED_VALUE"""),42130)</f>
        <v>42130</v>
      </c>
      <c r="R418" t="str">
        <f ca="1">IFERROR(__xludf.DUMMYFUNCTION("""COMPUTED_VALUE"""),"ПОТАШ")</f>
        <v>ПОТАШ</v>
      </c>
      <c r="S418" t="str">
        <f ca="1">IFERROR(__xludf.DUMMYFUNCTION("""COMPUTED_VALUE"""),"31.07.21 19-45")</f>
        <v>31.07.21 19-45</v>
      </c>
      <c r="T418">
        <f ca="1">IFERROR(__xludf.DUMMYFUNCTION("""COMPUTED_VALUE"""),4456)</f>
        <v>4456</v>
      </c>
      <c r="U418" t="str">
        <f ca="1">IFERROR(__xludf.DUMMYFUNCTION("""COMPUTED_VALUE"""),"22.03.2022 ТР-1")</f>
        <v>22.03.2022 ТР-1</v>
      </c>
      <c r="AA418" t="str">
        <f ca="1">IFERROR(__xludf.DUMMYFUNCTION("""COMPUTED_VALUE"""),"11-276")</f>
        <v>11-276</v>
      </c>
      <c r="AB418" t="str">
        <f ca="1">IFERROR(__xludf.DUMMYFUNCTION("""COMPUTED_VALUE"""),"40 ОД")</f>
        <v>40 ОД</v>
      </c>
      <c r="AC418" t="str">
        <f ca="1">IFERROR(__xludf.DUMMYFUNCTION("""COMPUTED_VALUE"""),"41190 ПОМОШНАЯ")</f>
        <v>41190 ПОМОШНАЯ</v>
      </c>
      <c r="AD418" t="str">
        <f ca="1">IFERROR(__xludf.DUMMYFUNCTION("""COMPUTED_VALUE"""),"04.10.19 10-00")</f>
        <v>04.10.19 10-00</v>
      </c>
      <c r="AE418" t="str">
        <f ca="1">IFERROR(__xludf.DUMMYFUNCTION("""COMPUTED_VALUE"""),"570 ИCТEК КAЛЕНДАРНЫЙ CPOК ДEПOВCКОГО PEМOНТA")</f>
        <v>570 ИCТEК КAЛЕНДАРНЫЙ CPOК ДEПOВCКОГО PEМOНТA</v>
      </c>
      <c r="AF418" t="str">
        <f ca="1">IFERROR(__xludf.DUMMYFUNCTION("""COMPUTED_VALUE"""),"40 ОД")</f>
        <v>40 ОД</v>
      </c>
      <c r="AG418" t="str">
        <f ca="1">IFERROR(__xludf.DUMMYFUNCTION("""COMPUTED_VALUE"""),"41190 ПОМОШНАЯ")</f>
        <v>41190 ПОМОШНАЯ</v>
      </c>
      <c r="AH418" t="str">
        <f ca="1">IFERROR(__xludf.DUMMYFUNCTION("""COMPUTED_VALUE"""),"12.10.19 16-00")</f>
        <v>12.10.19 16-00</v>
      </c>
      <c r="AI418" s="21">
        <f ca="1">IFERROR(__xludf.DUMMYFUNCTION("""COMPUTED_VALUE"""),44420.3583449074)</f>
        <v>44420.358344907399</v>
      </c>
    </row>
    <row r="419" spans="1:35" ht="13" x14ac:dyDescent="0.15">
      <c r="A419">
        <f ca="1">IFERROR(__xludf.DUMMYFUNCTION("""COMPUTED_VALUE"""),1754)</f>
        <v>1754</v>
      </c>
      <c r="B419" t="str">
        <f ca="1">IFERROR(__xludf.DUMMYFUNCTION("""COMPUTED_VALUE"""),"ВИК")</f>
        <v>ВИК</v>
      </c>
      <c r="C419" t="str">
        <f ca="1">IFERROR(__xludf.DUMMYFUNCTION("""COMPUTED_VALUE"""),"ВИК")</f>
        <v>ВИК</v>
      </c>
      <c r="D419">
        <f ca="1">IFERROR(__xludf.DUMMYFUNCTION("""COMPUTED_VALUE"""),26322396)</f>
        <v>26322396</v>
      </c>
      <c r="E419" t="str">
        <f ca="1">IFERROR(__xludf.DUMMYFUNCTION("""COMPUTED_VALUE"""),"20 КРЫТЫЕ")</f>
        <v>20 КРЫТЫЕ</v>
      </c>
      <c r="F419">
        <f ca="1">IFERROR(__xludf.DUMMYFUNCTION("""COMPUTED_VALUE"""),42103)</f>
        <v>42103</v>
      </c>
      <c r="G419" t="str">
        <f ca="1">IFERROR(__xludf.DUMMYFUNCTION("""COMPUTED_VALUE"""),"ВАГОНЫ ЖД СВ")</f>
        <v>ВАГОНЫ ЖД СВ</v>
      </c>
      <c r="H419">
        <f ca="1">IFERROR(__xludf.DUMMYFUNCTION("""COMPUTED_VALUE"""),0)</f>
        <v>0</v>
      </c>
      <c r="I419">
        <f ca="1">IFERROR(__xludf.DUMMYFUNCTION("""COMPUTED_VALUE"""),4456)</f>
        <v>4456</v>
      </c>
      <c r="J419" t="str">
        <f ca="1">IFERROR(__xludf.DUMMYFUNCTION("""COMPUTED_VALUE"""),"0000 (00000-000-00000)  -")</f>
        <v>0000 (00000-000-00000)  -</v>
      </c>
      <c r="K419">
        <f ca="1">IFERROR(__xludf.DUMMYFUNCTION("""COMPUTED_VALUE"""),40200)</f>
        <v>40200</v>
      </c>
      <c r="L419" t="str">
        <f ca="1">IFERROR(__xludf.DUMMYFUNCTION("""COMPUTED_VALUE"""),"ЧЕРНОМОРСК-П")</f>
        <v>ЧЕРНОМОРСК-П</v>
      </c>
      <c r="M419" t="str">
        <f ca="1">IFERROR(__xludf.DUMMYFUNCTION("""COMPUTED_VALUE"""),"09.08.21 17-14")</f>
        <v>09.08.21 17-14</v>
      </c>
      <c r="N419" t="str">
        <f ca="1">IFERROR(__xludf.DUMMYFUNCTION("""COMPUTED_VALUE"""),"73 КОРР")</f>
        <v>73 КОРР</v>
      </c>
      <c r="O419">
        <f ca="1">IFERROR(__xludf.DUMMYFUNCTION("""COMPUTED_VALUE"""),40200)</f>
        <v>40200</v>
      </c>
      <c r="P419" t="str">
        <f ca="1">IFERROR(__xludf.DUMMYFUNCTION("""COMPUTED_VALUE"""),"ЧЕРНОМОРСК-П")</f>
        <v>ЧЕРНОМОРСК-П</v>
      </c>
      <c r="Q419">
        <f ca="1">IFERROR(__xludf.DUMMYFUNCTION("""COMPUTED_VALUE"""),40510)</f>
        <v>40510</v>
      </c>
      <c r="R419" t="str">
        <f ca="1">IFERROR(__xludf.DUMMYFUNCTION("""COMPUTED_VALUE"""),"ОДЕССА-ЗАС I")</f>
        <v>ОДЕССА-ЗАС I</v>
      </c>
      <c r="S419" t="str">
        <f ca="1">IFERROR(__xludf.DUMMYFUNCTION("""COMPUTED_VALUE"""),"20.07.21 13-45")</f>
        <v>20.07.21 13-45</v>
      </c>
      <c r="T419">
        <f ca="1">IFERROR(__xludf.DUMMYFUNCTION("""COMPUTED_VALUE"""),4456)</f>
        <v>4456</v>
      </c>
      <c r="U419" t="str">
        <f ca="1">IFERROR(__xludf.DUMMYFUNCTION("""COMPUTED_VALUE"""),"01.02.2023 ТР-1")</f>
        <v>01.02.2023 ТР-1</v>
      </c>
      <c r="AA419" t="str">
        <f ca="1">IFERROR(__xludf.DUMMYFUNCTION("""COMPUTED_VALUE"""),"11-276")</f>
        <v>11-276</v>
      </c>
      <c r="AB419" t="str">
        <f ca="1">IFERROR(__xludf.DUMMYFUNCTION("""COMPUTED_VALUE"""),"40 ОД")</f>
        <v>40 ОД</v>
      </c>
      <c r="AC419" t="str">
        <f ca="1">IFERROR(__xludf.DUMMYFUNCTION("""COMPUTED_VALUE"""),"41190 ПОМОШНАЯ")</f>
        <v>41190 ПОМОШНАЯ</v>
      </c>
      <c r="AD419" t="str">
        <f ca="1">IFERROR(__xludf.DUMMYFUNCTION("""COMPUTED_VALUE"""),"04.05.20 08-00")</f>
        <v>04.05.20 08-00</v>
      </c>
      <c r="AE419" t="str">
        <f ca="1">IFERROR(__xludf.DUMMYFUNCTION("""COMPUTED_VALUE"""),"570 ИCТEК КAЛЕНДАРНЫЙ CPOК ДEПOВCКОГО PEМOНТA")</f>
        <v>570 ИCТEК КAЛЕНДАРНЫЙ CPOК ДEПOВCКОГО PEМOНТA</v>
      </c>
      <c r="AF419" t="str">
        <f ca="1">IFERROR(__xludf.DUMMYFUNCTION("""COMPUTED_VALUE"""),"40 ОД")</f>
        <v>40 ОД</v>
      </c>
      <c r="AG419" t="str">
        <f ca="1">IFERROR(__xludf.DUMMYFUNCTION("""COMPUTED_VALUE"""),"41190 ПОМОШНАЯ")</f>
        <v>41190 ПОМОШНАЯ</v>
      </c>
      <c r="AH419" t="str">
        <f ca="1">IFERROR(__xludf.DUMMYFUNCTION("""COMPUTED_VALUE"""),"10.05.20 17-30")</f>
        <v>10.05.20 17-30</v>
      </c>
      <c r="AI419" s="21">
        <f ca="1">IFERROR(__xludf.DUMMYFUNCTION("""COMPUTED_VALUE"""),44420.3583449074)</f>
        <v>44420.358344907399</v>
      </c>
    </row>
    <row r="420" spans="1:35" ht="13" x14ac:dyDescent="0.15">
      <c r="A420">
        <f ca="1">IFERROR(__xludf.DUMMYFUNCTION("""COMPUTED_VALUE"""),1755)</f>
        <v>1755</v>
      </c>
      <c r="B420" t="str">
        <f ca="1">IFERROR(__xludf.DUMMYFUNCTION("""COMPUTED_VALUE"""),"ВИК")</f>
        <v>ВИК</v>
      </c>
      <c r="C420" t="str">
        <f ca="1">IFERROR(__xludf.DUMMYFUNCTION("""COMPUTED_VALUE"""),"ВИК")</f>
        <v>ВИК</v>
      </c>
      <c r="D420">
        <f ca="1">IFERROR(__xludf.DUMMYFUNCTION("""COMPUTED_VALUE"""),24029746)</f>
        <v>24029746</v>
      </c>
      <c r="E420" t="str">
        <f ca="1">IFERROR(__xludf.DUMMYFUNCTION("""COMPUTED_VALUE"""),"20 КРЫТЫЕ")</f>
        <v>20 КРЫТЫЕ</v>
      </c>
      <c r="F420">
        <f ca="1">IFERROR(__xludf.DUMMYFUNCTION("""COMPUTED_VALUE"""),23304)</f>
        <v>23304</v>
      </c>
      <c r="G420" t="str">
        <f ca="1">IFERROR(__xludf.DUMMYFUNCTION("""COMPUTED_VALUE"""),"ГИПС ПР")</f>
        <v>ГИПС ПР</v>
      </c>
      <c r="H420">
        <f ca="1">IFERROR(__xludf.DUMMYFUNCTION("""COMPUTED_VALUE"""),68)</f>
        <v>68</v>
      </c>
      <c r="I420">
        <f ca="1">IFERROR(__xludf.DUMMYFUNCTION("""COMPUTED_VALUE"""),3314)</f>
        <v>3314</v>
      </c>
      <c r="J420" t="str">
        <f ca="1">IFERROR(__xludf.DUMMYFUNCTION("""COMPUTED_VALUE"""),"2171 (44020-276-32000) ОСНОВА - ДАРНИЦА")</f>
        <v>2171 (44020-276-32000) ОСНОВА - ДАРНИЦА</v>
      </c>
      <c r="K420">
        <f ca="1">IFERROR(__xludf.DUMMYFUNCTION("""COMPUTED_VALUE"""),44850)</f>
        <v>44850</v>
      </c>
      <c r="L420" t="str">
        <f ca="1">IFERROR(__xludf.DUMMYFUNCTION("""COMPUTED_VALUE"""),"ПОЛТАВА-КИЕВ")</f>
        <v>ПОЛТАВА-КИЕВ</v>
      </c>
      <c r="M420" t="str">
        <f ca="1">IFERROR(__xludf.DUMMYFUNCTION("""COMPUTED_VALUE"""),"12.08.21 04-11")</f>
        <v>12.08.21 04-11</v>
      </c>
      <c r="N420" t="str">
        <f ca="1">IFERROR(__xludf.DUMMYFUNCTION("""COMPUTED_VALUE"""),"01 ПРИБ")</f>
        <v>01 ПРИБ</v>
      </c>
      <c r="O420">
        <f ca="1">IFERROR(__xludf.DUMMYFUNCTION("""COMPUTED_VALUE"""),38840)</f>
        <v>38840</v>
      </c>
      <c r="P420" t="str">
        <f ca="1">IFERROR(__xludf.DUMMYFUNCTION("""COMPUTED_VALUE"""),"ИВАНО-ФРАНК")</f>
        <v>ИВАНО-ФРАНК</v>
      </c>
      <c r="Q420">
        <f ca="1">IFERROR(__xludf.DUMMYFUNCTION("""COMPUTED_VALUE"""),49620)</f>
        <v>49620</v>
      </c>
      <c r="R420" t="str">
        <f ca="1">IFERROR(__xludf.DUMMYFUNCTION("""COMPUTED_VALUE"""),"ДЕКОНСКАЯ")</f>
        <v>ДЕКОНСКАЯ</v>
      </c>
      <c r="S420" t="str">
        <f ca="1">IFERROR(__xludf.DUMMYFUNCTION("""COMPUTED_VALUE"""),"09.08.21 11-40")</f>
        <v>09.08.21 11-40</v>
      </c>
      <c r="T420">
        <f ca="1">IFERROR(__xludf.DUMMYFUNCTION("""COMPUTED_VALUE"""),4149)</f>
        <v>4149</v>
      </c>
      <c r="U420" t="str">
        <f ca="1">IFERROR(__xludf.DUMMYFUNCTION("""COMPUTED_VALUE"""),"27.05.2023 ДР")</f>
        <v>27.05.2023 ДР</v>
      </c>
      <c r="AA420" t="str">
        <f ca="1">IFERROR(__xludf.DUMMYFUNCTION("""COMPUTED_VALUE"""),"11-217")</f>
        <v>11-217</v>
      </c>
      <c r="AB420" t="str">
        <f ca="1">IFERROR(__xludf.DUMMYFUNCTION("""COMPUTED_VALUE"""),"40 ОД")</f>
        <v>40 ОД</v>
      </c>
      <c r="AC420" t="str">
        <f ca="1">IFERROR(__xludf.DUMMYFUNCTION("""COMPUTED_VALUE"""),"41190 ПОМОШНАЯ")</f>
        <v>41190 ПОМОШНАЯ</v>
      </c>
      <c r="AD420" t="str">
        <f ca="1">IFERROR(__xludf.DUMMYFUNCTION("""COMPUTED_VALUE"""),"07.05.21 16-30")</f>
        <v>07.05.21 16-30</v>
      </c>
      <c r="AE420" t="str">
        <f ca="1">IFERROR(__xludf.DUMMYFUNCTION("""COMPUTED_VALUE"""),"570 ИCТEК КAЛЕНДАРНЫЙ CPOК ДEПOВCКОГО PEМOНТA")</f>
        <v>570 ИCТEК КAЛЕНДАРНЫЙ CPOК ДEПOВCКОГО PEМOНТA</v>
      </c>
      <c r="AF420" t="str">
        <f ca="1">IFERROR(__xludf.DUMMYFUNCTION("""COMPUTED_VALUE"""),"40 ОД")</f>
        <v>40 ОД</v>
      </c>
      <c r="AG420" t="str">
        <f ca="1">IFERROR(__xludf.DUMMYFUNCTION("""COMPUTED_VALUE"""),"41190 ПОМОШНАЯ")</f>
        <v>41190 ПОМОШНАЯ</v>
      </c>
      <c r="AH420" t="str">
        <f ca="1">IFERROR(__xludf.DUMMYFUNCTION("""COMPUTED_VALUE"""),"27.05.21 19-00")</f>
        <v>27.05.21 19-00</v>
      </c>
      <c r="AI420" s="21">
        <f ca="1">IFERROR(__xludf.DUMMYFUNCTION("""COMPUTED_VALUE"""),44420.3583449074)</f>
        <v>44420.358344907399</v>
      </c>
    </row>
    <row r="421" spans="1:35" ht="13" x14ac:dyDescent="0.15">
      <c r="A421">
        <f ca="1">IFERROR(__xludf.DUMMYFUNCTION("""COMPUTED_VALUE"""),1756)</f>
        <v>1756</v>
      </c>
      <c r="B421" t="str">
        <f ca="1">IFERROR(__xludf.DUMMYFUNCTION("""COMPUTED_VALUE"""),"ВИК")</f>
        <v>ВИК</v>
      </c>
      <c r="C421" t="str">
        <f ca="1">IFERROR(__xludf.DUMMYFUNCTION("""COMPUTED_VALUE"""),"ВИК")</f>
        <v>ВИК</v>
      </c>
      <c r="D421">
        <f ca="1">IFERROR(__xludf.DUMMYFUNCTION("""COMPUTED_VALUE"""),24040875)</f>
        <v>24040875</v>
      </c>
      <c r="E421" t="str">
        <f ca="1">IFERROR(__xludf.DUMMYFUNCTION("""COMPUTED_VALUE"""),"20 КРЫТЫЕ")</f>
        <v>20 КРЫТЫЕ</v>
      </c>
      <c r="F421">
        <f ca="1">IFERROR(__xludf.DUMMYFUNCTION("""COMPUTED_VALUE"""),42103)</f>
        <v>42103</v>
      </c>
      <c r="G421" t="str">
        <f ca="1">IFERROR(__xludf.DUMMYFUNCTION("""COMPUTED_VALUE"""),"ВАГОНЫ ЖД СВ")</f>
        <v>ВАГОНЫ ЖД СВ</v>
      </c>
      <c r="H421">
        <f ca="1">IFERROR(__xludf.DUMMYFUNCTION("""COMPUTED_VALUE"""),0)</f>
        <v>0</v>
      </c>
      <c r="I421">
        <f ca="1">IFERROR(__xludf.DUMMYFUNCTION("""COMPUTED_VALUE"""),4149)</f>
        <v>4149</v>
      </c>
      <c r="J421" t="str">
        <f ca="1">IFERROR(__xludf.DUMMYFUNCTION("""COMPUTED_VALUE"""),"4831 (35900-004-35770) КИВЕРЦЫ - ГНИДАВА")</f>
        <v>4831 (35900-004-35770) КИВЕРЦЫ - ГНИДАВА</v>
      </c>
      <c r="K421">
        <f ca="1">IFERROR(__xludf.DUMMYFUNCTION("""COMPUTED_VALUE"""),35900)</f>
        <v>35900</v>
      </c>
      <c r="L421" t="str">
        <f ca="1">IFERROR(__xludf.DUMMYFUNCTION("""COMPUTED_VALUE"""),"КИВЕРЦЫ")</f>
        <v>КИВЕРЦЫ</v>
      </c>
      <c r="M421" t="str">
        <f ca="1">IFERROR(__xludf.DUMMYFUNCTION("""COMPUTED_VALUE"""),"09.08.21 19-10")</f>
        <v>09.08.21 19-10</v>
      </c>
      <c r="N421" t="str">
        <f ca="1">IFERROR(__xludf.DUMMYFUNCTION("""COMPUTED_VALUE"""),"85 ПРСТ")</f>
        <v>85 ПРСТ</v>
      </c>
      <c r="O421">
        <f ca="1">IFERROR(__xludf.DUMMYFUNCTION("""COMPUTED_VALUE"""),49620)</f>
        <v>49620</v>
      </c>
      <c r="P421" t="str">
        <f ca="1">IFERROR(__xludf.DUMMYFUNCTION("""COMPUTED_VALUE"""),"ДЕКОНСКАЯ")</f>
        <v>ДЕКОНСКАЯ</v>
      </c>
      <c r="Q421">
        <f ca="1">IFERROR(__xludf.DUMMYFUNCTION("""COMPUTED_VALUE"""),35780)</f>
        <v>35780</v>
      </c>
      <c r="R421" t="str">
        <f ca="1">IFERROR(__xludf.DUMMYFUNCTION("""COMPUTED_VALUE"""),"ЛУЦК")</f>
        <v>ЛУЦК</v>
      </c>
      <c r="S421" t="str">
        <f ca="1">IFERROR(__xludf.DUMMYFUNCTION("""COMPUTED_VALUE"""),"08.08.21 10-30")</f>
        <v>08.08.21 10-30</v>
      </c>
      <c r="T421">
        <f ca="1">IFERROR(__xludf.DUMMYFUNCTION("""COMPUTED_VALUE"""),4456)</f>
        <v>4456</v>
      </c>
      <c r="U421" t="str">
        <f ca="1">IFERROR(__xludf.DUMMYFUNCTION("""COMPUTED_VALUE"""),"23.04.2022 ДР")</f>
        <v>23.04.2022 ДР</v>
      </c>
      <c r="AA421" t="str">
        <f ca="1">IFERROR(__xludf.DUMMYFUNCTION("""COMPUTED_VALUE"""),"11-217")</f>
        <v>11-217</v>
      </c>
      <c r="AB421" t="str">
        <f ca="1">IFERROR(__xludf.DUMMYFUNCTION("""COMPUTED_VALUE"""),"35 ЛЬВ")</f>
        <v>35 ЛЬВ</v>
      </c>
      <c r="AC421" t="str">
        <f ca="1">IFERROR(__xludf.DUMMYFUNCTION("""COMPUTED_VALUE"""),"35250 ИЗОВ")</f>
        <v>35250 ИЗОВ</v>
      </c>
      <c r="AD421" t="str">
        <f ca="1">IFERROR(__xludf.DUMMYFUNCTION("""COMPUTED_VALUE"""),"09.04.21 15-00")</f>
        <v>09.04.21 15-00</v>
      </c>
      <c r="AE421" t="str">
        <f ca="1">IFERROR(__xludf.DUMMYFUNCTION("""COMPUTED_VALUE"""),"109 OCТPOКOНEЧНЫЙ НAКAТ ГPEБНЯ")</f>
        <v>109 OCТPOКOНEЧНЫЙ НAКAТ ГPEБНЯ</v>
      </c>
      <c r="AF421" t="str">
        <f ca="1">IFERROR(__xludf.DUMMYFUNCTION("""COMPUTED_VALUE"""),"35 ЛЬВ")</f>
        <v>35 ЛЬВ</v>
      </c>
      <c r="AG421" t="str">
        <f ca="1">IFERROR(__xludf.DUMMYFUNCTION("""COMPUTED_VALUE"""),"35250 ИЗОВ")</f>
        <v>35250 ИЗОВ</v>
      </c>
      <c r="AH421" t="str">
        <f ca="1">IFERROR(__xludf.DUMMYFUNCTION("""COMPUTED_VALUE"""),"12.04.21 15-00")</f>
        <v>12.04.21 15-00</v>
      </c>
      <c r="AI421" s="21">
        <f ca="1">IFERROR(__xludf.DUMMYFUNCTION("""COMPUTED_VALUE"""),44420.3583449074)</f>
        <v>44420.358344907399</v>
      </c>
    </row>
    <row r="422" spans="1:35" ht="13" x14ac:dyDescent="0.15">
      <c r="A422">
        <f ca="1">IFERROR(__xludf.DUMMYFUNCTION("""COMPUTED_VALUE"""),1757)</f>
        <v>1757</v>
      </c>
      <c r="B422" t="str">
        <f ca="1">IFERROR(__xludf.DUMMYFUNCTION("""COMPUTED_VALUE"""),"ВИК")</f>
        <v>ВИК</v>
      </c>
      <c r="C422" t="str">
        <f ca="1">IFERROR(__xludf.DUMMYFUNCTION("""COMPUTED_VALUE"""),"ВИК")</f>
        <v>ВИК</v>
      </c>
      <c r="D422">
        <f ca="1">IFERROR(__xludf.DUMMYFUNCTION("""COMPUTED_VALUE"""),24057325)</f>
        <v>24057325</v>
      </c>
      <c r="E422" t="str">
        <f ca="1">IFERROR(__xludf.DUMMYFUNCTION("""COMPUTED_VALUE"""),"20 КРЫТЫЕ")</f>
        <v>20 КРЫТЫЕ</v>
      </c>
      <c r="F422">
        <f ca="1">IFERROR(__xludf.DUMMYFUNCTION("""COMPUTED_VALUE"""),42103)</f>
        <v>42103</v>
      </c>
      <c r="G422" t="str">
        <f ca="1">IFERROR(__xludf.DUMMYFUNCTION("""COMPUTED_VALUE"""),"ВАГОНЫ ЖД СВ")</f>
        <v>ВАГОНЫ ЖД СВ</v>
      </c>
      <c r="H422">
        <f ca="1">IFERROR(__xludf.DUMMYFUNCTION("""COMPUTED_VALUE"""),0)</f>
        <v>0</v>
      </c>
      <c r="I422">
        <f ca="1">IFERROR(__xludf.DUMMYFUNCTION("""COMPUTED_VALUE"""),4149)</f>
        <v>4149</v>
      </c>
      <c r="J422" t="str">
        <f ca="1">IFERROR(__xludf.DUMMYFUNCTION("""COMPUTED_VALUE"""),"2709 (32000-427-44020) ДАРНИЦА - ОСНОВА")</f>
        <v>2709 (32000-427-44020) ДАРНИЦА - ОСНОВА</v>
      </c>
      <c r="K422">
        <f ca="1">IFERROR(__xludf.DUMMYFUNCTION("""COMPUTED_VALUE"""),44020)</f>
        <v>44020</v>
      </c>
      <c r="L422" t="str">
        <f ca="1">IFERROR(__xludf.DUMMYFUNCTION("""COMPUTED_VALUE"""),"ОСНОВА")</f>
        <v>ОСНОВА</v>
      </c>
      <c r="M422" t="str">
        <f ca="1">IFERROR(__xludf.DUMMYFUNCTION("""COMPUTED_VALUE"""),"10.08.21 13-20")</f>
        <v>10.08.21 13-20</v>
      </c>
      <c r="N422" t="str">
        <f ca="1">IFERROR(__xludf.DUMMYFUNCTION("""COMPUTED_VALUE"""),"98 ОТОТ")</f>
        <v>98 ОТОТ</v>
      </c>
      <c r="O422">
        <f ca="1">IFERROR(__xludf.DUMMYFUNCTION("""COMPUTED_VALUE"""),49620)</f>
        <v>49620</v>
      </c>
      <c r="P422" t="str">
        <f ca="1">IFERROR(__xludf.DUMMYFUNCTION("""COMPUTED_VALUE"""),"ДЕКОНСКАЯ")</f>
        <v>ДЕКОНСКАЯ</v>
      </c>
      <c r="Q422">
        <f ca="1">IFERROR(__xludf.DUMMYFUNCTION("""COMPUTED_VALUE"""),32060)</f>
        <v>32060</v>
      </c>
      <c r="R422" t="str">
        <f ca="1">IFERROR(__xludf.DUMMYFUNCTION("""COMPUTED_VALUE"""),"ПОЧАЙНА")</f>
        <v>ПОЧАЙНА</v>
      </c>
      <c r="S422" t="str">
        <f ca="1">IFERROR(__xludf.DUMMYFUNCTION("""COMPUTED_VALUE"""),"04.08.21 11-20")</f>
        <v>04.08.21 11-20</v>
      </c>
      <c r="T422">
        <f ca="1">IFERROR(__xludf.DUMMYFUNCTION("""COMPUTED_VALUE"""),4456)</f>
        <v>4456</v>
      </c>
      <c r="U422" t="str">
        <f ca="1">IFERROR(__xludf.DUMMYFUNCTION("""COMPUTED_VALUE"""),"08.04.2022 ДР")</f>
        <v>08.04.2022 ДР</v>
      </c>
      <c r="AA422" t="str">
        <f ca="1">IFERROR(__xludf.DUMMYFUNCTION("""COMPUTED_VALUE"""),"11-217")</f>
        <v>11-217</v>
      </c>
      <c r="AB422" t="str">
        <f ca="1">IFERROR(__xludf.DUMMYFUNCTION("""COMPUTED_VALUE"""),"43 ЮЖН")</f>
        <v>43 ЮЖН</v>
      </c>
      <c r="AC422" t="str">
        <f ca="1">IFERROR(__xludf.DUMMYFUNCTION("""COMPUTED_VALUE"""),"44020 ОСНОВА")</f>
        <v>44020 ОСНОВА</v>
      </c>
      <c r="AD422" t="str">
        <f ca="1">IFERROR(__xludf.DUMMYFUNCTION("""COMPUTED_VALUE"""),"10.08.21 12-10")</f>
        <v>10.08.21 12-10</v>
      </c>
      <c r="AE422" t="str">
        <f ca="1">IFERROR(__xludf.DUMMYFUNCTION("""COMPUTED_VALUE"""),"537 НEИCПPAВНOCТЬ ЗAПOPA ДВEPИ")</f>
        <v>537 НEИCПPAВНOCТЬ ЗAПOPA ДВEPИ</v>
      </c>
      <c r="AF422" t="str">
        <f ca="1">IFERROR(__xludf.DUMMYFUNCTION("""COMPUTED_VALUE"""),"40 ОД")</f>
        <v>40 ОД</v>
      </c>
      <c r="AG422" t="str">
        <f ca="1">IFERROR(__xludf.DUMMYFUNCTION("""COMPUTED_VALUE"""),"41190 ПОМОШНАЯ")</f>
        <v>41190 ПОМОШНАЯ</v>
      </c>
      <c r="AH422" t="str">
        <f ca="1">IFERROR(__xludf.DUMMYFUNCTION("""COMPUTED_VALUE"""),"08.04.21 15-25")</f>
        <v>08.04.21 15-25</v>
      </c>
      <c r="AI422" s="21">
        <f ca="1">IFERROR(__xludf.DUMMYFUNCTION("""COMPUTED_VALUE"""),44420.3583449074)</f>
        <v>44420.358344907399</v>
      </c>
    </row>
    <row r="423" spans="1:35" ht="13" x14ac:dyDescent="0.15">
      <c r="A423">
        <f ca="1">IFERROR(__xludf.DUMMYFUNCTION("""COMPUTED_VALUE"""),1758)</f>
        <v>1758</v>
      </c>
      <c r="B423" t="str">
        <f ca="1">IFERROR(__xludf.DUMMYFUNCTION("""COMPUTED_VALUE"""),"ВИК")</f>
        <v>ВИК</v>
      </c>
      <c r="C423" t="str">
        <f ca="1">IFERROR(__xludf.DUMMYFUNCTION("""COMPUTED_VALUE"""),"ВИК")</f>
        <v>ВИК</v>
      </c>
      <c r="D423">
        <f ca="1">IFERROR(__xludf.DUMMYFUNCTION("""COMPUTED_VALUE"""),24059040)</f>
        <v>24059040</v>
      </c>
      <c r="E423" t="str">
        <f ca="1">IFERROR(__xludf.DUMMYFUNCTION("""COMPUTED_VALUE"""),"20 КРЫТЫЕ")</f>
        <v>20 КРЫТЫЕ</v>
      </c>
      <c r="F423">
        <f ca="1">IFERROR(__xludf.DUMMYFUNCTION("""COMPUTED_VALUE"""),42103)</f>
        <v>42103</v>
      </c>
      <c r="G423" t="str">
        <f ca="1">IFERROR(__xludf.DUMMYFUNCTION("""COMPUTED_VALUE"""),"ВАГОНЫ ЖД СВ")</f>
        <v>ВАГОНЫ ЖД СВ</v>
      </c>
      <c r="H423">
        <f ca="1">IFERROR(__xludf.DUMMYFUNCTION("""COMPUTED_VALUE"""),0)</f>
        <v>0</v>
      </c>
      <c r="I423">
        <f ca="1">IFERROR(__xludf.DUMMYFUNCTION("""COMPUTED_VALUE"""),4149)</f>
        <v>4149</v>
      </c>
      <c r="J423" t="str">
        <f ca="1">IFERROR(__xludf.DUMMYFUNCTION("""COMPUTED_VALUE"""),"1111 (32040-006-32050) ГРУШКИ - КИЕВ-ВОЛЫНСК")</f>
        <v>1111 (32040-006-32050) ГРУШКИ - КИЕВ-ВОЛЫНСК</v>
      </c>
      <c r="K423">
        <f ca="1">IFERROR(__xludf.DUMMYFUNCTION("""COMPUTED_VALUE"""),32040)</f>
        <v>32040</v>
      </c>
      <c r="L423" t="str">
        <f ca="1">IFERROR(__xludf.DUMMYFUNCTION("""COMPUTED_VALUE"""),"ГРУШКИ")</f>
        <v>ГРУШКИ</v>
      </c>
      <c r="M423" t="str">
        <f ca="1">IFERROR(__xludf.DUMMYFUNCTION("""COMPUTED_VALUE"""),"11.08.21 19-10")</f>
        <v>11.08.21 19-10</v>
      </c>
      <c r="N423" t="str">
        <f ca="1">IFERROR(__xludf.DUMMYFUNCTION("""COMPUTED_VALUE"""),"05 ФОРМ")</f>
        <v>05 ФОРМ</v>
      </c>
      <c r="O423">
        <f ca="1">IFERROR(__xludf.DUMMYFUNCTION("""COMPUTED_VALUE"""),49620)</f>
        <v>49620</v>
      </c>
      <c r="P423" t="str">
        <f ca="1">IFERROR(__xludf.DUMMYFUNCTION("""COMPUTED_VALUE"""),"ДЕКОНСКАЯ")</f>
        <v>ДЕКОНСКАЯ</v>
      </c>
      <c r="Q423">
        <f ca="1">IFERROR(__xludf.DUMMYFUNCTION("""COMPUTED_VALUE"""),32040)</f>
        <v>32040</v>
      </c>
      <c r="R423" t="str">
        <f ca="1">IFERROR(__xludf.DUMMYFUNCTION("""COMPUTED_VALUE"""),"ГРУШКИ")</f>
        <v>ГРУШКИ</v>
      </c>
      <c r="S423" t="str">
        <f ca="1">IFERROR(__xludf.DUMMYFUNCTION("""COMPUTED_VALUE"""),"11.08.21 08-00")</f>
        <v>11.08.21 08-00</v>
      </c>
      <c r="T423">
        <f ca="1">IFERROR(__xludf.DUMMYFUNCTION("""COMPUTED_VALUE"""),4456)</f>
        <v>4456</v>
      </c>
      <c r="U423" t="str">
        <f ca="1">IFERROR(__xludf.DUMMYFUNCTION("""COMPUTED_VALUE"""),"05.04.2022 ДР")</f>
        <v>05.04.2022 ДР</v>
      </c>
      <c r="AA423" t="str">
        <f ca="1">IFERROR(__xludf.DUMMYFUNCTION("""COMPUTED_VALUE"""),"11-217")</f>
        <v>11-217</v>
      </c>
      <c r="AB423" t="str">
        <f ca="1">IFERROR(__xludf.DUMMYFUNCTION("""COMPUTED_VALUE"""),"32 Ю-ЗАП")</f>
        <v>32 Ю-ЗАП</v>
      </c>
      <c r="AC423" t="str">
        <f ca="1">IFERROR(__xludf.DUMMYFUNCTION("""COMPUTED_VALUE"""),"34000 ШЕПЕТОВКА")</f>
        <v>34000 ШЕПЕТОВКА</v>
      </c>
      <c r="AD423" t="str">
        <f ca="1">IFERROR(__xludf.DUMMYFUNCTION("""COMPUTED_VALUE"""),"17.06.20 15-10")</f>
        <v>17.06.20 15-10</v>
      </c>
      <c r="AE423" t="str">
        <f ca="1">IFERROR(__xludf.DUMMYFUNCTION("""COMPUTED_VALUE"""),"537 НEИCПPAВНOCТЬ ЗAПOPA ДВEPИ")</f>
        <v>537 НEИCПPAВНOCТЬ ЗAПOPA ДВEPИ</v>
      </c>
      <c r="AF423" t="str">
        <f ca="1">IFERROR(__xludf.DUMMYFUNCTION("""COMPUTED_VALUE"""),"32 Ю-ЗАП")</f>
        <v>32 Ю-ЗАП</v>
      </c>
      <c r="AG423" t="str">
        <f ca="1">IFERROR(__xludf.DUMMYFUNCTION("""COMPUTED_VALUE"""),"34000 ШЕПЕТОВКА")</f>
        <v>34000 ШЕПЕТОВКА</v>
      </c>
      <c r="AH423" t="str">
        <f ca="1">IFERROR(__xludf.DUMMYFUNCTION("""COMPUTED_VALUE"""),"18.06.20 16-00")</f>
        <v>18.06.20 16-00</v>
      </c>
      <c r="AI423" s="21">
        <f ca="1">IFERROR(__xludf.DUMMYFUNCTION("""COMPUTED_VALUE"""),44420.3583449074)</f>
        <v>44420.358344907399</v>
      </c>
    </row>
    <row r="424" spans="1:35" ht="13" x14ac:dyDescent="0.15">
      <c r="A424">
        <f ca="1">IFERROR(__xludf.DUMMYFUNCTION("""COMPUTED_VALUE"""),1759)</f>
        <v>1759</v>
      </c>
      <c r="B424" t="str">
        <f ca="1">IFERROR(__xludf.DUMMYFUNCTION("""COMPUTED_VALUE"""),"ВИК")</f>
        <v>ВИК</v>
      </c>
      <c r="C424" t="str">
        <f ca="1">IFERROR(__xludf.DUMMYFUNCTION("""COMPUTED_VALUE"""),"ВИК")</f>
        <v>ВИК</v>
      </c>
      <c r="D424">
        <f ca="1">IFERROR(__xludf.DUMMYFUNCTION("""COMPUTED_VALUE"""),24061970)</f>
        <v>24061970</v>
      </c>
      <c r="E424" t="str">
        <f ca="1">IFERROR(__xludf.DUMMYFUNCTION("""COMPUTED_VALUE"""),"20 КРЫТЫЕ")</f>
        <v>20 КРЫТЫЕ</v>
      </c>
      <c r="F424">
        <f ca="1">IFERROR(__xludf.DUMMYFUNCTION("""COMPUTED_VALUE"""),42103)</f>
        <v>42103</v>
      </c>
      <c r="G424" t="str">
        <f ca="1">IFERROR(__xludf.DUMMYFUNCTION("""COMPUTED_VALUE"""),"ВАГОНЫ ЖД СВ")</f>
        <v>ВАГОНЫ ЖД СВ</v>
      </c>
      <c r="H424">
        <f ca="1">IFERROR(__xludf.DUMMYFUNCTION("""COMPUTED_VALUE"""),0)</f>
        <v>0</v>
      </c>
      <c r="I424">
        <f ca="1">IFERROR(__xludf.DUMMYFUNCTION("""COMPUTED_VALUE"""),4149)</f>
        <v>4149</v>
      </c>
      <c r="J424" t="str">
        <f ca="1">IFERROR(__xludf.DUMMYFUNCTION("""COMPUTED_VALUE"""),"3802 (49640-069-49620)  - ДЕКОНСКАЯ")</f>
        <v>3802 (49640-069-49620)  - ДЕКОНСКАЯ</v>
      </c>
      <c r="K424">
        <f ca="1">IFERROR(__xludf.DUMMYFUNCTION("""COMPUTED_VALUE"""),49620)</f>
        <v>49620</v>
      </c>
      <c r="L424" t="str">
        <f ca="1">IFERROR(__xludf.DUMMYFUNCTION("""COMPUTED_VALUE"""),"ДЕКОНСКАЯ")</f>
        <v>ДЕКОНСКАЯ</v>
      </c>
      <c r="M424" t="str">
        <f ca="1">IFERROR(__xludf.DUMMYFUNCTION("""COMPUTED_VALUE"""),"11.08.21 04-43")</f>
        <v>11.08.21 04-43</v>
      </c>
      <c r="N424" t="str">
        <f ca="1">IFERROR(__xludf.DUMMYFUNCTION("""COMPUTED_VALUE"""),"98 ОТОТ")</f>
        <v>98 ОТОТ</v>
      </c>
      <c r="O424">
        <f ca="1">IFERROR(__xludf.DUMMYFUNCTION("""COMPUTED_VALUE"""),49620)</f>
        <v>49620</v>
      </c>
      <c r="P424" t="str">
        <f ca="1">IFERROR(__xludf.DUMMYFUNCTION("""COMPUTED_VALUE"""),"ДЕКОНСКАЯ")</f>
        <v>ДЕКОНСКАЯ</v>
      </c>
      <c r="Q424">
        <f ca="1">IFERROR(__xludf.DUMMYFUNCTION("""COMPUTED_VALUE"""),38440)</f>
        <v>38440</v>
      </c>
      <c r="R424" t="str">
        <f ca="1">IFERROR(__xludf.DUMMYFUNCTION("""COMPUTED_VALUE"""),"ВИНОГР-ЗАКАР")</f>
        <v>ВИНОГР-ЗАКАР</v>
      </c>
      <c r="S424" t="str">
        <f ca="1">IFERROR(__xludf.DUMMYFUNCTION("""COMPUTED_VALUE"""),"05.08.21 16-30")</f>
        <v>05.08.21 16-30</v>
      </c>
      <c r="T424">
        <f ca="1">IFERROR(__xludf.DUMMYFUNCTION("""COMPUTED_VALUE"""),4456)</f>
        <v>4456</v>
      </c>
      <c r="U424" t="str">
        <f ca="1">IFERROR(__xludf.DUMMYFUNCTION("""COMPUTED_VALUE"""),"09.10.2022 ДР")</f>
        <v>09.10.2022 ДР</v>
      </c>
      <c r="AA424" t="str">
        <f ca="1">IFERROR(__xludf.DUMMYFUNCTION("""COMPUTED_VALUE"""),"11-217")</f>
        <v>11-217</v>
      </c>
      <c r="AB424" t="str">
        <f ca="1">IFERROR(__xludf.DUMMYFUNCTION("""COMPUTED_VALUE"""),"40 ОД")</f>
        <v>40 ОД</v>
      </c>
      <c r="AC424" t="str">
        <f ca="1">IFERROR(__xludf.DUMMYFUNCTION("""COMPUTED_VALUE"""),"41190 ПОМОШНАЯ")</f>
        <v>41190 ПОМОШНАЯ</v>
      </c>
      <c r="AD424" t="str">
        <f ca="1">IFERROR(__xludf.DUMMYFUNCTION("""COMPUTED_VALUE"""),"10.09.20 08-00")</f>
        <v>10.09.20 08-00</v>
      </c>
      <c r="AE424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424" t="str">
        <f ca="1">IFERROR(__xludf.DUMMYFUNCTION("""COMPUTED_VALUE"""),"40 ОД")</f>
        <v>40 ОД</v>
      </c>
      <c r="AG424" t="str">
        <f ca="1">IFERROR(__xludf.DUMMYFUNCTION("""COMPUTED_VALUE"""),"41190 ПОМОШНАЯ")</f>
        <v>41190 ПОМОШНАЯ</v>
      </c>
      <c r="AH424" t="str">
        <f ca="1">IFERROR(__xludf.DUMMYFUNCTION("""COMPUTED_VALUE"""),"09.10.20 10-30")</f>
        <v>09.10.20 10-30</v>
      </c>
      <c r="AI424" s="21">
        <f ca="1">IFERROR(__xludf.DUMMYFUNCTION("""COMPUTED_VALUE"""),44420.3583449074)</f>
        <v>44420.358344907399</v>
      </c>
    </row>
    <row r="425" spans="1:35" ht="13" x14ac:dyDescent="0.15">
      <c r="A425">
        <f ca="1">IFERROR(__xludf.DUMMYFUNCTION("""COMPUTED_VALUE"""),1760)</f>
        <v>1760</v>
      </c>
      <c r="B425" t="str">
        <f ca="1">IFERROR(__xludf.DUMMYFUNCTION("""COMPUTED_VALUE"""),"ВИК")</f>
        <v>ВИК</v>
      </c>
      <c r="C425" t="str">
        <f ca="1">IFERROR(__xludf.DUMMYFUNCTION("""COMPUTED_VALUE"""),"ВИК")</f>
        <v>ВИК</v>
      </c>
      <c r="D425">
        <f ca="1">IFERROR(__xludf.DUMMYFUNCTION("""COMPUTED_VALUE"""),24096547)</f>
        <v>24096547</v>
      </c>
      <c r="E425" t="str">
        <f ca="1">IFERROR(__xludf.DUMMYFUNCTION("""COMPUTED_VALUE"""),"20 КРЫТЫЕ")</f>
        <v>20 КРЫТЫЕ</v>
      </c>
      <c r="F425">
        <f ca="1">IFERROR(__xludf.DUMMYFUNCTION("""COMPUTED_VALUE"""),42103)</f>
        <v>42103</v>
      </c>
      <c r="G425" t="str">
        <f ca="1">IFERROR(__xludf.DUMMYFUNCTION("""COMPUTED_VALUE"""),"ВАГОНЫ ЖД СВ")</f>
        <v>ВАГОНЫ ЖД СВ</v>
      </c>
      <c r="H425">
        <f ca="1">IFERROR(__xludf.DUMMYFUNCTION("""COMPUTED_VALUE"""),0)</f>
        <v>0</v>
      </c>
      <c r="I425">
        <f ca="1">IFERROR(__xludf.DUMMYFUNCTION("""COMPUTED_VALUE"""),4149)</f>
        <v>4149</v>
      </c>
      <c r="J425" t="str">
        <f ca="1">IFERROR(__xludf.DUMMYFUNCTION("""COMPUTED_VALUE"""),"1111 (35660-101-35000) РОВНО - ЗДОЛБУНОВ")</f>
        <v>1111 (35660-101-35000) РОВНО - ЗДОЛБУНОВ</v>
      </c>
      <c r="K425">
        <f ca="1">IFERROR(__xludf.DUMMYFUNCTION("""COMPUTED_VALUE"""),35660)</f>
        <v>35660</v>
      </c>
      <c r="L425" t="str">
        <f ca="1">IFERROR(__xludf.DUMMYFUNCTION("""COMPUTED_VALUE"""),"РОВНО")</f>
        <v>РОВНО</v>
      </c>
      <c r="M425" t="str">
        <f ca="1">IFERROR(__xludf.DUMMYFUNCTION("""COMPUTED_VALUE"""),"11.08.21 04-00")</f>
        <v>11.08.21 04-00</v>
      </c>
      <c r="N425" t="str">
        <f ca="1">IFERROR(__xludf.DUMMYFUNCTION("""COMPUTED_VALUE"""),"44 РАСП")</f>
        <v>44 РАСП</v>
      </c>
      <c r="O425">
        <f ca="1">IFERROR(__xludf.DUMMYFUNCTION("""COMPUTED_VALUE"""),49620)</f>
        <v>49620</v>
      </c>
      <c r="P425" t="str">
        <f ca="1">IFERROR(__xludf.DUMMYFUNCTION("""COMPUTED_VALUE"""),"ДЕКОНСКАЯ")</f>
        <v>ДЕКОНСКАЯ</v>
      </c>
      <c r="Q425">
        <f ca="1">IFERROR(__xludf.DUMMYFUNCTION("""COMPUTED_VALUE"""),35660)</f>
        <v>35660</v>
      </c>
      <c r="R425" t="str">
        <f ca="1">IFERROR(__xludf.DUMMYFUNCTION("""COMPUTED_VALUE"""),"РОВНО")</f>
        <v>РОВНО</v>
      </c>
      <c r="S425" t="str">
        <f ca="1">IFERROR(__xludf.DUMMYFUNCTION("""COMPUTED_VALUE"""),"09.08.21 18-20")</f>
        <v>09.08.21 18-20</v>
      </c>
      <c r="T425">
        <f ca="1">IFERROR(__xludf.DUMMYFUNCTION("""COMPUTED_VALUE"""),4456)</f>
        <v>4456</v>
      </c>
      <c r="U425" t="str">
        <f ca="1">IFERROR(__xludf.DUMMYFUNCTION("""COMPUTED_VALUE"""),"04.10.2022 ДР")</f>
        <v>04.10.2022 ДР</v>
      </c>
      <c r="AA425" t="str">
        <f ca="1">IFERROR(__xludf.DUMMYFUNCTION("""COMPUTED_VALUE"""),"11-217")</f>
        <v>11-217</v>
      </c>
      <c r="AB425" t="str">
        <f ca="1">IFERROR(__xludf.DUMMYFUNCTION("""COMPUTED_VALUE"""),"40 ОД")</f>
        <v>40 ОД</v>
      </c>
      <c r="AC425" t="str">
        <f ca="1">IFERROR(__xludf.DUMMYFUNCTION("""COMPUTED_VALUE"""),"41190 ПОМОШНАЯ")</f>
        <v>41190 ПОМОШНАЯ</v>
      </c>
      <c r="AD425" t="str">
        <f ca="1">IFERROR(__xludf.DUMMYFUNCTION("""COMPUTED_VALUE"""),"01.10.20 08-00")</f>
        <v>01.10.20 08-00</v>
      </c>
      <c r="AE425" t="str">
        <f ca="1">IFERROR(__xludf.DUMMYFUNCTION("""COMPUTED_VALUE"""),"575 ДОСРОЧНАЯ ПОCТAНOВКA В КАПИТАЛЬНЫЙ PЕМОНТ ПO ТEXНИЧЕСКОМУ COCТ")</f>
        <v>575 ДОСРОЧНАЯ ПОCТAНOВКA В КАПИТАЛЬНЫЙ PЕМОНТ ПO ТEXНИЧЕСКОМУ COCТ</v>
      </c>
      <c r="AF425" t="str">
        <f ca="1">IFERROR(__xludf.DUMMYFUNCTION("""COMPUTED_VALUE"""),"40 ОД")</f>
        <v>40 ОД</v>
      </c>
      <c r="AG425" t="str">
        <f ca="1">IFERROR(__xludf.DUMMYFUNCTION("""COMPUTED_VALUE"""),"41190 ПОМОШНАЯ")</f>
        <v>41190 ПОМОШНАЯ</v>
      </c>
      <c r="AH425" t="str">
        <f ca="1">IFERROR(__xludf.DUMMYFUNCTION("""COMPUTED_VALUE"""),"04.10.20 16-30")</f>
        <v>04.10.20 16-30</v>
      </c>
      <c r="AI425" s="21">
        <f ca="1">IFERROR(__xludf.DUMMYFUNCTION("""COMPUTED_VALUE"""),44420.3583449074)</f>
        <v>44420.358344907399</v>
      </c>
    </row>
    <row r="426" spans="1:35" ht="13" x14ac:dyDescent="0.15">
      <c r="A426">
        <f ca="1">IFERROR(__xludf.DUMMYFUNCTION("""COMPUTED_VALUE"""),1761)</f>
        <v>1761</v>
      </c>
      <c r="B426" t="str">
        <f ca="1">IFERROR(__xludf.DUMMYFUNCTION("""COMPUTED_VALUE"""),"ВИК")</f>
        <v>ВИК</v>
      </c>
      <c r="C426" t="str">
        <f ca="1">IFERROR(__xludf.DUMMYFUNCTION("""COMPUTED_VALUE"""),"ВИК")</f>
        <v>ВИК</v>
      </c>
      <c r="D426">
        <f ca="1">IFERROR(__xludf.DUMMYFUNCTION("""COMPUTED_VALUE"""),24096711)</f>
        <v>24096711</v>
      </c>
      <c r="E426" t="str">
        <f ca="1">IFERROR(__xludf.DUMMYFUNCTION("""COMPUTED_VALUE"""),"20 КРЫТЫЕ")</f>
        <v>20 КРЫТЫЕ</v>
      </c>
      <c r="F426">
        <f ca="1">IFERROR(__xludf.DUMMYFUNCTION("""COMPUTED_VALUE"""),23304)</f>
        <v>23304</v>
      </c>
      <c r="G426" t="str">
        <f ca="1">IFERROR(__xludf.DUMMYFUNCTION("""COMPUTED_VALUE"""),"ГИПС ПР")</f>
        <v>ГИПС ПР</v>
      </c>
      <c r="H426">
        <f ca="1">IFERROR(__xludf.DUMMYFUNCTION("""COMPUTED_VALUE"""),68)</f>
        <v>68</v>
      </c>
      <c r="I426">
        <f ca="1">IFERROR(__xludf.DUMMYFUNCTION("""COMPUTED_VALUE"""),3314)</f>
        <v>3314</v>
      </c>
      <c r="J426" t="str">
        <f ca="1">IFERROR(__xludf.DUMMYFUNCTION("""COMPUTED_VALUE"""),"1111 (32040-009-32050) ГРУШКИ - КИЕВ-ВОЛЫНСК")</f>
        <v>1111 (32040-009-32050) ГРУШКИ - КИЕВ-ВОЛЫНСК</v>
      </c>
      <c r="K426">
        <f ca="1">IFERROR(__xludf.DUMMYFUNCTION("""COMPUTED_VALUE"""),32040)</f>
        <v>32040</v>
      </c>
      <c r="L426" t="str">
        <f ca="1">IFERROR(__xludf.DUMMYFUNCTION("""COMPUTED_VALUE"""),"ГРУШКИ")</f>
        <v>ГРУШКИ</v>
      </c>
      <c r="M426" t="str">
        <f ca="1">IFERROR(__xludf.DUMMYFUNCTION("""COMPUTED_VALUE"""),"09.08.21 23-00")</f>
        <v>09.08.21 23-00</v>
      </c>
      <c r="N426" t="str">
        <f ca="1">IFERROR(__xludf.DUMMYFUNCTION("""COMPUTED_VALUE"""),"21 ВЫГ2")</f>
        <v>21 ВЫГ2</v>
      </c>
      <c r="O426">
        <f ca="1">IFERROR(__xludf.DUMMYFUNCTION("""COMPUTED_VALUE"""),32040)</f>
        <v>32040</v>
      </c>
      <c r="P426" t="str">
        <f ca="1">IFERROR(__xludf.DUMMYFUNCTION("""COMPUTED_VALUE"""),"ГРУШКИ")</f>
        <v>ГРУШКИ</v>
      </c>
      <c r="Q426">
        <f ca="1">IFERROR(__xludf.DUMMYFUNCTION("""COMPUTED_VALUE"""),49620)</f>
        <v>49620</v>
      </c>
      <c r="R426" t="str">
        <f ca="1">IFERROR(__xludf.DUMMYFUNCTION("""COMPUTED_VALUE"""),"ДЕКОНСКАЯ")</f>
        <v>ДЕКОНСКАЯ</v>
      </c>
      <c r="S426" t="str">
        <f ca="1">IFERROR(__xludf.DUMMYFUNCTION("""COMPUTED_VALUE"""),"01.08.21 04-20")</f>
        <v>01.08.21 04-20</v>
      </c>
      <c r="U426" t="str">
        <f ca="1">IFERROR(__xludf.DUMMYFUNCTION("""COMPUTED_VALUE"""),"27.04.2022 ДР")</f>
        <v>27.04.2022 ДР</v>
      </c>
      <c r="AA426" t="str">
        <f ca="1">IFERROR(__xludf.DUMMYFUNCTION("""COMPUTED_VALUE"""),"11-217")</f>
        <v>11-217</v>
      </c>
      <c r="AB426" t="str">
        <f ca="1">IFERROR(__xludf.DUMMYFUNCTION("""COMPUTED_VALUE"""),"35 ЛЬВ")</f>
        <v>35 ЛЬВ</v>
      </c>
      <c r="AC426" t="str">
        <f ca="1">IFERROR(__xludf.DUMMYFUNCTION("""COMPUTED_VALUE"""),"35400 КОВЕЛЬ")</f>
        <v>35400 КОВЕЛЬ</v>
      </c>
      <c r="AD426" t="str">
        <f ca="1">IFERROR(__xludf.DUMMYFUNCTION("""COMPUTED_VALUE"""),"10.07.21 12-48")</f>
        <v>10.07.21 12-48</v>
      </c>
      <c r="AE426" t="str">
        <f ca="1">IFERROR(__xludf.DUMMYFUNCTION("""COMPUTED_VALUE"""),"405 НEИCПPAВНOCТЬ КOНЦEВOГO КPAНA")</f>
        <v>405 НEИCПPAВНOCТЬ КOНЦEВOГO КPAНA</v>
      </c>
      <c r="AF426" t="str">
        <f ca="1">IFERROR(__xludf.DUMMYFUNCTION("""COMPUTED_VALUE"""),"35 ЛЬВ")</f>
        <v>35 ЛЬВ</v>
      </c>
      <c r="AG426" t="str">
        <f ca="1">IFERROR(__xludf.DUMMYFUNCTION("""COMPUTED_VALUE"""),"35400 КОВЕЛЬ")</f>
        <v>35400 КОВЕЛЬ</v>
      </c>
      <c r="AH426" t="str">
        <f ca="1">IFERROR(__xludf.DUMMYFUNCTION("""COMPUTED_VALUE"""),"13.07.21 18-00")</f>
        <v>13.07.21 18-00</v>
      </c>
      <c r="AI426" s="21">
        <f ca="1">IFERROR(__xludf.DUMMYFUNCTION("""COMPUTED_VALUE"""),44420.3583449074)</f>
        <v>44420.358344907399</v>
      </c>
    </row>
    <row r="427" spans="1:35" ht="13" x14ac:dyDescent="0.15">
      <c r="A427">
        <f ca="1">IFERROR(__xludf.DUMMYFUNCTION("""COMPUTED_VALUE"""),1762)</f>
        <v>1762</v>
      </c>
      <c r="B427" t="str">
        <f ca="1">IFERROR(__xludf.DUMMYFUNCTION("""COMPUTED_VALUE"""),"ВИК")</f>
        <v>ВИК</v>
      </c>
      <c r="C427" t="str">
        <f ca="1">IFERROR(__xludf.DUMMYFUNCTION("""COMPUTED_VALUE"""),"ВИК")</f>
        <v>ВИК</v>
      </c>
      <c r="D427">
        <f ca="1">IFERROR(__xludf.DUMMYFUNCTION("""COMPUTED_VALUE"""),24210171)</f>
        <v>24210171</v>
      </c>
      <c r="E427" t="str">
        <f ca="1">IFERROR(__xludf.DUMMYFUNCTION("""COMPUTED_VALUE"""),"20 КРЫТЫЕ")</f>
        <v>20 КРЫТЫЕ</v>
      </c>
      <c r="F427">
        <f ca="1">IFERROR(__xludf.DUMMYFUNCTION("""COMPUTED_VALUE"""),42103)</f>
        <v>42103</v>
      </c>
      <c r="G427" t="str">
        <f ca="1">IFERROR(__xludf.DUMMYFUNCTION("""COMPUTED_VALUE"""),"ВАГОНЫ ЖД СВ")</f>
        <v>ВАГОНЫ ЖД СВ</v>
      </c>
      <c r="H427">
        <f ca="1">IFERROR(__xludf.DUMMYFUNCTION("""COMPUTED_VALUE"""),0)</f>
        <v>0</v>
      </c>
      <c r="I427">
        <f ca="1">IFERROR(__xludf.DUMMYFUNCTION("""COMPUTED_VALUE"""),1111)</f>
        <v>1111</v>
      </c>
      <c r="J427" t="str">
        <f ca="1">IFERROR(__xludf.DUMMYFUNCTION("""COMPUTED_VALUE"""),"3651 (37040-284-37000) КЛЕПАРОВ - ЛЬВОВ")</f>
        <v>3651 (37040-284-37000) КЛЕПАРОВ - ЛЬВОВ</v>
      </c>
      <c r="K427">
        <f ca="1">IFERROR(__xludf.DUMMYFUNCTION("""COMPUTED_VALUE"""),37000)</f>
        <v>37000</v>
      </c>
      <c r="L427" t="str">
        <f ca="1">IFERROR(__xludf.DUMMYFUNCTION("""COMPUTED_VALUE"""),"ЛЬВОВ")</f>
        <v>ЛЬВОВ</v>
      </c>
      <c r="M427" t="str">
        <f ca="1">IFERROR(__xludf.DUMMYFUNCTION("""COMPUTED_VALUE"""),"12.08.21 01-32")</f>
        <v>12.08.21 01-32</v>
      </c>
      <c r="N427" t="str">
        <f ca="1">IFERROR(__xludf.DUMMYFUNCTION("""COMPUTED_VALUE"""),"04 РАСФ")</f>
        <v>04 РАСФ</v>
      </c>
      <c r="O427">
        <f ca="1">IFERROR(__xludf.DUMMYFUNCTION("""COMPUTED_VALUE"""),35260)</f>
        <v>35260</v>
      </c>
      <c r="P427" t="str">
        <f ca="1">IFERROR(__xludf.DUMMYFUNCTION("""COMPUTED_VALUE"""),"ИЗОВ-Э-ПКП")</f>
        <v>ИЗОВ-Э-ПКП</v>
      </c>
      <c r="Q427">
        <f ca="1">IFERROR(__xludf.DUMMYFUNCTION("""COMPUTED_VALUE"""),37050)</f>
        <v>37050</v>
      </c>
      <c r="R427" t="str">
        <f ca="1">IFERROR(__xludf.DUMMYFUNCTION("""COMPUTED_VALUE"""),"РЯСНА II")</f>
        <v>РЯСНА II</v>
      </c>
      <c r="S427" t="str">
        <f ca="1">IFERROR(__xludf.DUMMYFUNCTION("""COMPUTED_VALUE"""),"10.08.21 11-50")</f>
        <v>10.08.21 11-50</v>
      </c>
      <c r="T427">
        <f ca="1">IFERROR(__xludf.DUMMYFUNCTION("""COMPUTED_VALUE"""),4456)</f>
        <v>4456</v>
      </c>
      <c r="U427" t="str">
        <f ca="1">IFERROR(__xludf.DUMMYFUNCTION("""COMPUTED_VALUE"""),"22.05.2022 ДР")</f>
        <v>22.05.2022 ДР</v>
      </c>
      <c r="AA427" t="str">
        <f ca="1">IFERROR(__xludf.DUMMYFUNCTION("""COMPUTED_VALUE"""),"11-217")</f>
        <v>11-217</v>
      </c>
      <c r="AB427" t="str">
        <f ca="1">IFERROR(__xludf.DUMMYFUNCTION("""COMPUTED_VALUE"""),"40 ОД")</f>
        <v>40 ОД</v>
      </c>
      <c r="AC427" t="str">
        <f ca="1">IFERROR(__xludf.DUMMYFUNCTION("""COMPUTED_VALUE"""),"40510 ОДЕССА-ЗАС I")</f>
        <v>40510 ОДЕССА-ЗАС I</v>
      </c>
      <c r="AD427" t="str">
        <f ca="1">IFERROR(__xludf.DUMMYFUNCTION("""COMPUTED_VALUE"""),"29.04.21 15-36")</f>
        <v>29.04.21 15-36</v>
      </c>
      <c r="AE427" t="str">
        <f ca="1">IFERROR(__xludf.DUMMYFUNCTION("""COMPUTED_VALUE"""),"567")</f>
        <v>567</v>
      </c>
      <c r="AF427" t="str">
        <f ca="1">IFERROR(__xludf.DUMMYFUNCTION("""COMPUTED_VALUE"""),"40 ОД")</f>
        <v>40 ОД</v>
      </c>
      <c r="AG427" t="str">
        <f ca="1">IFERROR(__xludf.DUMMYFUNCTION("""COMPUTED_VALUE"""),"40510 ОДЕССА-ЗАС I")</f>
        <v>40510 ОДЕССА-ЗАС I</v>
      </c>
      <c r="AH427" t="str">
        <f ca="1">IFERROR(__xludf.DUMMYFUNCTION("""COMPUTED_VALUE"""),"30.04.21 10-50")</f>
        <v>30.04.21 10-50</v>
      </c>
      <c r="AI427" s="21">
        <f ca="1">IFERROR(__xludf.DUMMYFUNCTION("""COMPUTED_VALUE"""),44420.3583449074)</f>
        <v>44420.358344907399</v>
      </c>
    </row>
    <row r="428" spans="1:35" ht="13" x14ac:dyDescent="0.15">
      <c r="A428">
        <f ca="1">IFERROR(__xludf.DUMMYFUNCTION("""COMPUTED_VALUE"""),1763)</f>
        <v>1763</v>
      </c>
      <c r="B428" t="str">
        <f ca="1">IFERROR(__xludf.DUMMYFUNCTION("""COMPUTED_VALUE"""),"ВИК")</f>
        <v>ВИК</v>
      </c>
      <c r="C428" t="str">
        <f ca="1">IFERROR(__xludf.DUMMYFUNCTION("""COMPUTED_VALUE"""),"ВИК")</f>
        <v>ВИК</v>
      </c>
      <c r="D428">
        <f ca="1">IFERROR(__xludf.DUMMYFUNCTION("""COMPUTED_VALUE"""),24210460)</f>
        <v>24210460</v>
      </c>
      <c r="E428" t="str">
        <f ca="1">IFERROR(__xludf.DUMMYFUNCTION("""COMPUTED_VALUE"""),"20 КРЫТЫЕ")</f>
        <v>20 КРЫТЫЕ</v>
      </c>
      <c r="F428">
        <f ca="1">IFERROR(__xludf.DUMMYFUNCTION("""COMPUTED_VALUE"""),23304)</f>
        <v>23304</v>
      </c>
      <c r="G428" t="str">
        <f ca="1">IFERROR(__xludf.DUMMYFUNCTION("""COMPUTED_VALUE"""),"ГИПС ПР")</f>
        <v>ГИПС ПР</v>
      </c>
      <c r="H428">
        <f ca="1">IFERROR(__xludf.DUMMYFUNCTION("""COMPUTED_VALUE"""),68)</f>
        <v>68</v>
      </c>
      <c r="I428">
        <f ca="1">IFERROR(__xludf.DUMMYFUNCTION("""COMPUTED_VALUE"""),3314)</f>
        <v>3314</v>
      </c>
      <c r="J428" t="str">
        <f ca="1">IFERROR(__xludf.DUMMYFUNCTION("""COMPUTED_VALUE"""),"1111 (32040-009-32050) ГРУШКИ - КИЕВ-ВОЛЫНСК")</f>
        <v>1111 (32040-009-32050) ГРУШКИ - КИЕВ-ВОЛЫНСК</v>
      </c>
      <c r="K428">
        <f ca="1">IFERROR(__xludf.DUMMYFUNCTION("""COMPUTED_VALUE"""),32040)</f>
        <v>32040</v>
      </c>
      <c r="L428" t="str">
        <f ca="1">IFERROR(__xludf.DUMMYFUNCTION("""COMPUTED_VALUE"""),"ГРУШКИ")</f>
        <v>ГРУШКИ</v>
      </c>
      <c r="M428" t="str">
        <f ca="1">IFERROR(__xludf.DUMMYFUNCTION("""COMPUTED_VALUE"""),"09.08.21 23-00")</f>
        <v>09.08.21 23-00</v>
      </c>
      <c r="N428" t="str">
        <f ca="1">IFERROR(__xludf.DUMMYFUNCTION("""COMPUTED_VALUE"""),"21 ВЫГ2")</f>
        <v>21 ВЫГ2</v>
      </c>
      <c r="O428">
        <f ca="1">IFERROR(__xludf.DUMMYFUNCTION("""COMPUTED_VALUE"""),32040)</f>
        <v>32040</v>
      </c>
      <c r="P428" t="str">
        <f ca="1">IFERROR(__xludf.DUMMYFUNCTION("""COMPUTED_VALUE"""),"ГРУШКИ")</f>
        <v>ГРУШКИ</v>
      </c>
      <c r="Q428">
        <f ca="1">IFERROR(__xludf.DUMMYFUNCTION("""COMPUTED_VALUE"""),49620)</f>
        <v>49620</v>
      </c>
      <c r="R428" t="str">
        <f ca="1">IFERROR(__xludf.DUMMYFUNCTION("""COMPUTED_VALUE"""),"ДЕКОНСКАЯ")</f>
        <v>ДЕКОНСКАЯ</v>
      </c>
      <c r="S428" t="str">
        <f ca="1">IFERROR(__xludf.DUMMYFUNCTION("""COMPUTED_VALUE"""),"01.08.21 04-20")</f>
        <v>01.08.21 04-20</v>
      </c>
      <c r="U428" t="str">
        <f ca="1">IFERROR(__xludf.DUMMYFUNCTION("""COMPUTED_VALUE"""),"08.04.2023 ДР")</f>
        <v>08.04.2023 ДР</v>
      </c>
      <c r="AA428" t="str">
        <f ca="1">IFERROR(__xludf.DUMMYFUNCTION("""COMPUTED_VALUE"""),"11-217")</f>
        <v>11-217</v>
      </c>
      <c r="AB428" t="str">
        <f ca="1">IFERROR(__xludf.DUMMYFUNCTION("""COMPUTED_VALUE"""),"40 ОД")</f>
        <v>40 ОД</v>
      </c>
      <c r="AC428" t="str">
        <f ca="1">IFERROR(__xludf.DUMMYFUNCTION("""COMPUTED_VALUE"""),"41190 ПОМОШНАЯ")</f>
        <v>41190 ПОМОШНАЯ</v>
      </c>
      <c r="AD428" t="str">
        <f ca="1">IFERROR(__xludf.DUMMYFUNCTION("""COMPUTED_VALUE"""),"28.03.21 15-00")</f>
        <v>28.03.21 15-00</v>
      </c>
      <c r="AE428" t="str">
        <f ca="1">IFERROR(__xludf.DUMMYFUNCTION("""COMPUTED_VALUE"""),"570 ИCТEК КAЛЕНДАРНЫЙ CPOК ДEПOВCКОГО PEМOНТA")</f>
        <v>570 ИCТEК КAЛЕНДАРНЫЙ CPOК ДEПOВCКОГО PEМOНТA</v>
      </c>
      <c r="AF428" t="str">
        <f ca="1">IFERROR(__xludf.DUMMYFUNCTION("""COMPUTED_VALUE"""),"40 ОД")</f>
        <v>40 ОД</v>
      </c>
      <c r="AG428" t="str">
        <f ca="1">IFERROR(__xludf.DUMMYFUNCTION("""COMPUTED_VALUE"""),"41190 ПОМОШНАЯ")</f>
        <v>41190 ПОМОШНАЯ</v>
      </c>
      <c r="AH428" t="str">
        <f ca="1">IFERROR(__xludf.DUMMYFUNCTION("""COMPUTED_VALUE"""),"08.04.21 15-25")</f>
        <v>08.04.21 15-25</v>
      </c>
      <c r="AI428" s="21">
        <f ca="1">IFERROR(__xludf.DUMMYFUNCTION("""COMPUTED_VALUE"""),44420.3583449074)</f>
        <v>44420.358344907399</v>
      </c>
    </row>
    <row r="429" spans="1:35" ht="13" x14ac:dyDescent="0.15">
      <c r="A429">
        <f ca="1">IFERROR(__xludf.DUMMYFUNCTION("""COMPUTED_VALUE"""),1764)</f>
        <v>1764</v>
      </c>
      <c r="B429" t="str">
        <f ca="1">IFERROR(__xludf.DUMMYFUNCTION("""COMPUTED_VALUE"""),"ВИК")</f>
        <v>ВИК</v>
      </c>
      <c r="C429" t="str">
        <f ca="1">IFERROR(__xludf.DUMMYFUNCTION("""COMPUTED_VALUE"""),"ВИК")</f>
        <v>ВИК</v>
      </c>
      <c r="D429">
        <f ca="1">IFERROR(__xludf.DUMMYFUNCTION("""COMPUTED_VALUE"""),24210551)</f>
        <v>24210551</v>
      </c>
      <c r="E429" t="str">
        <f ca="1">IFERROR(__xludf.DUMMYFUNCTION("""COMPUTED_VALUE"""),"20 КРЫТЫЕ")</f>
        <v>20 КРЫТЫЕ</v>
      </c>
      <c r="F429">
        <f ca="1">IFERROR(__xludf.DUMMYFUNCTION("""COMPUTED_VALUE"""),23304)</f>
        <v>23304</v>
      </c>
      <c r="G429" t="str">
        <f ca="1">IFERROR(__xludf.DUMMYFUNCTION("""COMPUTED_VALUE"""),"ГИПС ПР")</f>
        <v>ГИПС ПР</v>
      </c>
      <c r="H429">
        <f ca="1">IFERROR(__xludf.DUMMYFUNCTION("""COMPUTED_VALUE"""),67)</f>
        <v>67</v>
      </c>
      <c r="I429">
        <f ca="1">IFERROR(__xludf.DUMMYFUNCTION("""COMPUTED_VALUE"""),4888)</f>
        <v>4888</v>
      </c>
      <c r="J429" t="str">
        <f ca="1">IFERROR(__xludf.DUMMYFUNCTION("""COMPUTED_VALUE"""),"4833 (32810-011-32820) ТЕРЕЩЕНСКАЯ - ШОСТКА")</f>
        <v>4833 (32810-011-32820) ТЕРЕЩЕНСКАЯ - ШОСТКА</v>
      </c>
      <c r="K429">
        <f ca="1">IFERROR(__xludf.DUMMYFUNCTION("""COMPUTED_VALUE"""),32820)</f>
        <v>32820</v>
      </c>
      <c r="L429" t="str">
        <f ca="1">IFERROR(__xludf.DUMMYFUNCTION("""COMPUTED_VALUE"""),"ШОСТКА")</f>
        <v>ШОСТКА</v>
      </c>
      <c r="M429" t="str">
        <f ca="1">IFERROR(__xludf.DUMMYFUNCTION("""COMPUTED_VALUE"""),"12.08.21 04-13")</f>
        <v>12.08.21 04-13</v>
      </c>
      <c r="N429" t="str">
        <f ca="1">IFERROR(__xludf.DUMMYFUNCTION("""COMPUTED_VALUE"""),"04 РАСФ")</f>
        <v>04 РАСФ</v>
      </c>
      <c r="O429">
        <f ca="1">IFERROR(__xludf.DUMMYFUNCTION("""COMPUTED_VALUE"""),32820)</f>
        <v>32820</v>
      </c>
      <c r="P429" t="str">
        <f ca="1">IFERROR(__xludf.DUMMYFUNCTION("""COMPUTED_VALUE"""),"ШОСТКА")</f>
        <v>ШОСТКА</v>
      </c>
      <c r="Q429">
        <f ca="1">IFERROR(__xludf.DUMMYFUNCTION("""COMPUTED_VALUE"""),49620)</f>
        <v>49620</v>
      </c>
      <c r="R429" t="str">
        <f ca="1">IFERROR(__xludf.DUMMYFUNCTION("""COMPUTED_VALUE"""),"ДЕКОНСКАЯ")</f>
        <v>ДЕКОНСКАЯ</v>
      </c>
      <c r="S429" t="str">
        <f ca="1">IFERROR(__xludf.DUMMYFUNCTION("""COMPUTED_VALUE"""),"06.08.21 21-20")</f>
        <v>06.08.21 21-20</v>
      </c>
      <c r="T429">
        <f ca="1">IFERROR(__xludf.DUMMYFUNCTION("""COMPUTED_VALUE"""),4149)</f>
        <v>4149</v>
      </c>
      <c r="U429" t="str">
        <f ca="1">IFERROR(__xludf.DUMMYFUNCTION("""COMPUTED_VALUE"""),"25.04.2022 ДР")</f>
        <v>25.04.2022 ДР</v>
      </c>
      <c r="AA429" t="str">
        <f ca="1">IFERROR(__xludf.DUMMYFUNCTION("""COMPUTED_VALUE"""),"11-217")</f>
        <v>11-217</v>
      </c>
      <c r="AB429" t="str">
        <f ca="1">IFERROR(__xludf.DUMMYFUNCTION("""COMPUTED_VALUE"""),"40 ОД")</f>
        <v>40 ОД</v>
      </c>
      <c r="AC429" t="str">
        <f ca="1">IFERROR(__xludf.DUMMYFUNCTION("""COMPUTED_VALUE"""),"41190 ПОМОШНАЯ")</f>
        <v>41190 ПОМОШНАЯ</v>
      </c>
      <c r="AD429" t="str">
        <f ca="1">IFERROR(__xludf.DUMMYFUNCTION("""COMPUTED_VALUE"""),"04.04.19 10-00")</f>
        <v>04.04.19 10-00</v>
      </c>
      <c r="AE429" t="str">
        <f ca="1">IFERROR(__xludf.DUMMYFUNCTION("""COMPUTED_VALUE"""),"571 ИCТEК КAЛЕНДАРНЫЙ CPOК КAПИТAЛЬНОГО PEМOНТA")</f>
        <v>571 ИCТEК КAЛЕНДАРНЫЙ CPOК КAПИТAЛЬНОГО PEМOНТA</v>
      </c>
      <c r="AF429" t="str">
        <f ca="1">IFERROR(__xludf.DUMMYFUNCTION("""COMPUTED_VALUE"""),"40 ОД")</f>
        <v>40 ОД</v>
      </c>
      <c r="AG429" t="str">
        <f ca="1">IFERROR(__xludf.DUMMYFUNCTION("""COMPUTED_VALUE"""),"41190 ПОМОШНАЯ")</f>
        <v>41190 ПОМОШНАЯ</v>
      </c>
      <c r="AH429" t="str">
        <f ca="1">IFERROR(__xludf.DUMMYFUNCTION("""COMPUTED_VALUE"""),"25.04.19 15-30")</f>
        <v>25.04.19 15-30</v>
      </c>
      <c r="AI429" s="21">
        <f ca="1">IFERROR(__xludf.DUMMYFUNCTION("""COMPUTED_VALUE"""),44420.3583449074)</f>
        <v>44420.358344907399</v>
      </c>
    </row>
    <row r="430" spans="1:35" ht="13" x14ac:dyDescent="0.15">
      <c r="A430">
        <f ca="1">IFERROR(__xludf.DUMMYFUNCTION("""COMPUTED_VALUE"""),1765)</f>
        <v>1765</v>
      </c>
      <c r="B430" t="str">
        <f ca="1">IFERROR(__xludf.DUMMYFUNCTION("""COMPUTED_VALUE"""),"ВИК")</f>
        <v>ВИК</v>
      </c>
      <c r="C430" t="str">
        <f ca="1">IFERROR(__xludf.DUMMYFUNCTION("""COMPUTED_VALUE"""),"ВИК")</f>
        <v>ВИК</v>
      </c>
      <c r="D430">
        <f ca="1">IFERROR(__xludf.DUMMYFUNCTION("""COMPUTED_VALUE"""),24343113)</f>
        <v>24343113</v>
      </c>
      <c r="E430" t="str">
        <f ca="1">IFERROR(__xludf.DUMMYFUNCTION("""COMPUTED_VALUE"""),"20 КРЫТЫЕ")</f>
        <v>20 КРЫТЫЕ</v>
      </c>
      <c r="F430">
        <f ca="1">IFERROR(__xludf.DUMMYFUNCTION("""COMPUTED_VALUE"""),42103)</f>
        <v>42103</v>
      </c>
      <c r="G430" t="str">
        <f ca="1">IFERROR(__xludf.DUMMYFUNCTION("""COMPUTED_VALUE"""),"ВАГОНЫ ЖД СВ")</f>
        <v>ВАГОНЫ ЖД СВ</v>
      </c>
      <c r="H430">
        <f ca="1">IFERROR(__xludf.DUMMYFUNCTION("""COMPUTED_VALUE"""),0)</f>
        <v>0</v>
      </c>
      <c r="I430">
        <f ca="1">IFERROR(__xludf.DUMMYFUNCTION("""COMPUTED_VALUE"""),4149)</f>
        <v>4149</v>
      </c>
      <c r="J430" t="str">
        <f ca="1">IFERROR(__xludf.DUMMYFUNCTION("""COMPUTED_VALUE"""),"4831 (35900-004-35770) КИВЕРЦЫ - ГНИДАВА")</f>
        <v>4831 (35900-004-35770) КИВЕРЦЫ - ГНИДАВА</v>
      </c>
      <c r="K430">
        <f ca="1">IFERROR(__xludf.DUMMYFUNCTION("""COMPUTED_VALUE"""),35900)</f>
        <v>35900</v>
      </c>
      <c r="L430" t="str">
        <f ca="1">IFERROR(__xludf.DUMMYFUNCTION("""COMPUTED_VALUE"""),"КИВЕРЦЫ")</f>
        <v>КИВЕРЦЫ</v>
      </c>
      <c r="M430" t="str">
        <f ca="1">IFERROR(__xludf.DUMMYFUNCTION("""COMPUTED_VALUE"""),"09.08.21 19-10")</f>
        <v>09.08.21 19-10</v>
      </c>
      <c r="N430" t="str">
        <f ca="1">IFERROR(__xludf.DUMMYFUNCTION("""COMPUTED_VALUE"""),"85 ПРСТ")</f>
        <v>85 ПРСТ</v>
      </c>
      <c r="O430">
        <f ca="1">IFERROR(__xludf.DUMMYFUNCTION("""COMPUTED_VALUE"""),49620)</f>
        <v>49620</v>
      </c>
      <c r="P430" t="str">
        <f ca="1">IFERROR(__xludf.DUMMYFUNCTION("""COMPUTED_VALUE"""),"ДЕКОНСКАЯ")</f>
        <v>ДЕКОНСКАЯ</v>
      </c>
      <c r="Q430">
        <f ca="1">IFERROR(__xludf.DUMMYFUNCTION("""COMPUTED_VALUE"""),35780)</f>
        <v>35780</v>
      </c>
      <c r="R430" t="str">
        <f ca="1">IFERROR(__xludf.DUMMYFUNCTION("""COMPUTED_VALUE"""),"ЛУЦК")</f>
        <v>ЛУЦК</v>
      </c>
      <c r="S430" t="str">
        <f ca="1">IFERROR(__xludf.DUMMYFUNCTION("""COMPUTED_VALUE"""),"08.08.21 10-30")</f>
        <v>08.08.21 10-30</v>
      </c>
      <c r="T430">
        <f ca="1">IFERROR(__xludf.DUMMYFUNCTION("""COMPUTED_VALUE"""),4456)</f>
        <v>4456</v>
      </c>
      <c r="U430" t="str">
        <f ca="1">IFERROR(__xludf.DUMMYFUNCTION("""COMPUTED_VALUE"""),"14.04.2022 ДР")</f>
        <v>14.04.2022 ДР</v>
      </c>
      <c r="AA430" t="str">
        <f ca="1">IFERROR(__xludf.DUMMYFUNCTION("""COMPUTED_VALUE"""),"11-217")</f>
        <v>11-217</v>
      </c>
      <c r="AB430" t="str">
        <f ca="1">IFERROR(__xludf.DUMMYFUNCTION("""COMPUTED_VALUE"""),"40 ОД")</f>
        <v>40 ОД</v>
      </c>
      <c r="AC430" t="str">
        <f ca="1">IFERROR(__xludf.DUMMYFUNCTION("""COMPUTED_VALUE"""),"41520 НИКОЛАЕВ-ГРУ")</f>
        <v>41520 НИКОЛАЕВ-ГРУ</v>
      </c>
      <c r="AD430" t="str">
        <f ca="1">IFERROR(__xludf.DUMMYFUNCTION("""COMPUTED_VALUE"""),"28.11.19 17-10")</f>
        <v>28.11.19 17-10</v>
      </c>
      <c r="AE430" t="str">
        <f ca="1">IFERROR(__xludf.DUMMYFUNCTION("""COMPUTED_VALUE"""),"537 НEИCПPAВНOCТЬ ЗAПOPA ДВEPИ")</f>
        <v>537 НEИCПPAВНOCТЬ ЗAПOPA ДВEPИ</v>
      </c>
      <c r="AF430" t="str">
        <f ca="1">IFERROR(__xludf.DUMMYFUNCTION("""COMPUTED_VALUE"""),"40 ОД")</f>
        <v>40 ОД</v>
      </c>
      <c r="AG430" t="str">
        <f ca="1">IFERROR(__xludf.DUMMYFUNCTION("""COMPUTED_VALUE"""),"41520 НИКОЛАЕВ-ГРУ")</f>
        <v>41520 НИКОЛАЕВ-ГРУ</v>
      </c>
      <c r="AH430" t="str">
        <f ca="1">IFERROR(__xludf.DUMMYFUNCTION("""COMPUTED_VALUE"""),"30.11.19 10-00")</f>
        <v>30.11.19 10-00</v>
      </c>
      <c r="AI430" s="21">
        <f ca="1">IFERROR(__xludf.DUMMYFUNCTION("""COMPUTED_VALUE"""),44420.3583449074)</f>
        <v>44420.358344907399</v>
      </c>
    </row>
    <row r="431" spans="1:35" ht="13" x14ac:dyDescent="0.15">
      <c r="A431">
        <f ca="1">IFERROR(__xludf.DUMMYFUNCTION("""COMPUTED_VALUE"""),1766)</f>
        <v>1766</v>
      </c>
      <c r="B431" t="str">
        <f ca="1">IFERROR(__xludf.DUMMYFUNCTION("""COMPUTED_VALUE"""),"ВИК")</f>
        <v>ВИК</v>
      </c>
      <c r="C431" t="str">
        <f ca="1">IFERROR(__xludf.DUMMYFUNCTION("""COMPUTED_VALUE"""),"ВИК")</f>
        <v>ВИК</v>
      </c>
      <c r="D431">
        <f ca="1">IFERROR(__xludf.DUMMYFUNCTION("""COMPUTED_VALUE"""),24383622)</f>
        <v>24383622</v>
      </c>
      <c r="E431" t="str">
        <f ca="1">IFERROR(__xludf.DUMMYFUNCTION("""COMPUTED_VALUE"""),"20 КРЫТЫЕ")</f>
        <v>20 КРЫТЫЕ</v>
      </c>
      <c r="F431">
        <f ca="1">IFERROR(__xludf.DUMMYFUNCTION("""COMPUTED_VALUE"""),69214)</f>
        <v>69214</v>
      </c>
      <c r="G431" t="str">
        <f ca="1">IFERROR(__xludf.DUMMYFUNCTION("""COMPUTED_VALUE"""),"МАКУЛАТУРА")</f>
        <v>МАКУЛАТУРА</v>
      </c>
      <c r="H431">
        <f ca="1">IFERROR(__xludf.DUMMYFUNCTION("""COMPUTED_VALUE"""),35)</f>
        <v>35</v>
      </c>
      <c r="I431">
        <f ca="1">IFERROR(__xludf.DUMMYFUNCTION("""COMPUTED_VALUE"""),3925)</f>
        <v>3925</v>
      </c>
      <c r="J431" t="str">
        <f ca="1">IFERROR(__xludf.DUMMYFUNCTION("""COMPUTED_VALUE"""),"3452 (35400-035-35000) КОВЕЛЬ - ЗДОЛБУНОВ")</f>
        <v>3452 (35400-035-35000) КОВЕЛЬ - ЗДОЛБУНОВ</v>
      </c>
      <c r="K431">
        <f ca="1">IFERROR(__xludf.DUMMYFUNCTION("""COMPUTED_VALUE"""),35000)</f>
        <v>35000</v>
      </c>
      <c r="L431" t="str">
        <f ca="1">IFERROR(__xludf.DUMMYFUNCTION("""COMPUTED_VALUE"""),"ЗДОЛБУНОВ")</f>
        <v>ЗДОЛБУНОВ</v>
      </c>
      <c r="M431" t="str">
        <f ca="1">IFERROR(__xludf.DUMMYFUNCTION("""COMPUTED_VALUE"""),"12.08.21 04-22")</f>
        <v>12.08.21 04-22</v>
      </c>
      <c r="N431" t="str">
        <f ca="1">IFERROR(__xludf.DUMMYFUNCTION("""COMPUTED_VALUE"""),"04 РАСФ")</f>
        <v>04 РАСФ</v>
      </c>
      <c r="O431">
        <f ca="1">IFERROR(__xludf.DUMMYFUNCTION("""COMPUTED_VALUE"""),34170)</f>
        <v>34170</v>
      </c>
      <c r="P431" t="str">
        <f ca="1">IFERROR(__xludf.DUMMYFUNCTION("""COMPUTED_VALUE"""),"ПОЛОННОЕ")</f>
        <v>ПОЛОННОЕ</v>
      </c>
      <c r="Q431">
        <f ca="1">IFERROR(__xludf.DUMMYFUNCTION("""COMPUTED_VALUE"""),35260)</f>
        <v>35260</v>
      </c>
      <c r="R431" t="str">
        <f ca="1">IFERROR(__xludf.DUMMYFUNCTION("""COMPUTED_VALUE"""),"ИЗОВ-Э-ПКП")</f>
        <v>ИЗОВ-Э-ПКП</v>
      </c>
      <c r="S431" t="str">
        <f ca="1">IFERROR(__xludf.DUMMYFUNCTION("""COMPUTED_VALUE"""),"08.08.21 16-50")</f>
        <v>08.08.21 16-50</v>
      </c>
      <c r="U431" t="str">
        <f ca="1">IFERROR(__xludf.DUMMYFUNCTION("""COMPUTED_VALUE"""),"26.03.2022 ДР")</f>
        <v>26.03.2022 ДР</v>
      </c>
      <c r="AA431" t="str">
        <f ca="1">IFERROR(__xludf.DUMMYFUNCTION("""COMPUTED_VALUE"""),"11-217")</f>
        <v>11-217</v>
      </c>
      <c r="AB431" t="str">
        <f ca="1">IFERROR(__xludf.DUMMYFUNCTION("""COMPUTED_VALUE"""),"40 ОД")</f>
        <v>40 ОД</v>
      </c>
      <c r="AC431" t="str">
        <f ca="1">IFERROR(__xludf.DUMMYFUNCTION("""COMPUTED_VALUE"""),"41000 ЗНАМЕНКА")</f>
        <v>41000 ЗНАМЕНКА</v>
      </c>
      <c r="AD431" t="str">
        <f ca="1">IFERROR(__xludf.DUMMYFUNCTION("""COMPUTED_VALUE"""),"25.03.19 16-10")</f>
        <v>25.03.19 16-10</v>
      </c>
      <c r="AE431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1" t="str">
        <f ca="1">IFERROR(__xludf.DUMMYFUNCTION("""COMPUTED_VALUE"""),"40 ОД")</f>
        <v>40 ОД</v>
      </c>
      <c r="AG431" t="str">
        <f ca="1">IFERROR(__xludf.DUMMYFUNCTION("""COMPUTED_VALUE"""),"41000 ЗНАМЕНКА")</f>
        <v>41000 ЗНАМЕНКА</v>
      </c>
      <c r="AH431" t="str">
        <f ca="1">IFERROR(__xludf.DUMMYFUNCTION("""COMPUTED_VALUE"""),"26.03.19 16-00")</f>
        <v>26.03.19 16-00</v>
      </c>
      <c r="AI431" s="21">
        <f ca="1">IFERROR(__xludf.DUMMYFUNCTION("""COMPUTED_VALUE"""),44420.3583449074)</f>
        <v>44420.358344907399</v>
      </c>
    </row>
    <row r="432" spans="1:35" ht="13" x14ac:dyDescent="0.15">
      <c r="A432">
        <f ca="1">IFERROR(__xludf.DUMMYFUNCTION("""COMPUTED_VALUE"""),1767)</f>
        <v>1767</v>
      </c>
      <c r="B432" t="str">
        <f ca="1">IFERROR(__xludf.DUMMYFUNCTION("""COMPUTED_VALUE"""),"ВИК")</f>
        <v>ВИК</v>
      </c>
      <c r="C432" t="str">
        <f ca="1">IFERROR(__xludf.DUMMYFUNCTION("""COMPUTED_VALUE"""),"ВИК")</f>
        <v>ВИК</v>
      </c>
      <c r="D432">
        <f ca="1">IFERROR(__xludf.DUMMYFUNCTION("""COMPUTED_VALUE"""),24383721)</f>
        <v>24383721</v>
      </c>
      <c r="E432" t="str">
        <f ca="1">IFERROR(__xludf.DUMMYFUNCTION("""COMPUTED_VALUE"""),"20 КРЫТЫЕ")</f>
        <v>20 КРЫТЫЕ</v>
      </c>
      <c r="F432">
        <f ca="1">IFERROR(__xludf.DUMMYFUNCTION("""COMPUTED_VALUE"""),42103)</f>
        <v>42103</v>
      </c>
      <c r="G432" t="str">
        <f ca="1">IFERROR(__xludf.DUMMYFUNCTION("""COMPUTED_VALUE"""),"ВАГОНЫ ЖД СВ")</f>
        <v>ВАГОНЫ ЖД СВ</v>
      </c>
      <c r="H432">
        <f ca="1">IFERROR(__xludf.DUMMYFUNCTION("""COMPUTED_VALUE"""),0)</f>
        <v>0</v>
      </c>
      <c r="I432">
        <f ca="1">IFERROR(__xludf.DUMMYFUNCTION("""COMPUTED_VALUE"""),4149)</f>
        <v>4149</v>
      </c>
      <c r="J432" t="str">
        <f ca="1">IFERROR(__xludf.DUMMYFUNCTION("""COMPUTED_VALUE"""),"2040 (37000-646-45000) ЛЬВОВ - НИЖНЕДН-УЗЕЛ")</f>
        <v>2040 (37000-646-45000) ЛЬВОВ - НИЖНЕДН-УЗЕЛ</v>
      </c>
      <c r="K432">
        <f ca="1">IFERROR(__xludf.DUMMYFUNCTION("""COMPUTED_VALUE"""),45000)</f>
        <v>45000</v>
      </c>
      <c r="L432" t="str">
        <f ca="1">IFERROR(__xludf.DUMMYFUNCTION("""COMPUTED_VALUE"""),"НИЖНЕДН-УЗЕЛ")</f>
        <v>НИЖНЕДН-УЗЕЛ</v>
      </c>
      <c r="M432" t="str">
        <f ca="1">IFERROR(__xludf.DUMMYFUNCTION("""COMPUTED_VALUE"""),"11.08.21 22-17")</f>
        <v>11.08.21 22-17</v>
      </c>
      <c r="N432" t="str">
        <f ca="1">IFERROR(__xludf.DUMMYFUNCTION("""COMPUTED_VALUE"""),"04 РАСФ")</f>
        <v>04 РАСФ</v>
      </c>
      <c r="O432">
        <f ca="1">IFERROR(__xludf.DUMMYFUNCTION("""COMPUTED_VALUE"""),49620)</f>
        <v>49620</v>
      </c>
      <c r="P432" t="str">
        <f ca="1">IFERROR(__xludf.DUMMYFUNCTION("""COMPUTED_VALUE"""),"ДЕКОНСКАЯ")</f>
        <v>ДЕКОНСКАЯ</v>
      </c>
      <c r="Q432">
        <f ca="1">IFERROR(__xludf.DUMMYFUNCTION("""COMPUTED_VALUE"""),38840)</f>
        <v>38840</v>
      </c>
      <c r="R432" t="str">
        <f ca="1">IFERROR(__xludf.DUMMYFUNCTION("""COMPUTED_VALUE"""),"ИВАНО-ФРАНК")</f>
        <v>ИВАНО-ФРАНК</v>
      </c>
      <c r="S432" t="str">
        <f ca="1">IFERROR(__xludf.DUMMYFUNCTION("""COMPUTED_VALUE"""),"07.08.21 15-30")</f>
        <v>07.08.21 15-30</v>
      </c>
      <c r="T432">
        <f ca="1">IFERROR(__xludf.DUMMYFUNCTION("""COMPUTED_VALUE"""),4456)</f>
        <v>4456</v>
      </c>
      <c r="U432" t="str">
        <f ca="1">IFERROR(__xludf.DUMMYFUNCTION("""COMPUTED_VALUE"""),"06.05.2022 ДР")</f>
        <v>06.05.2022 ДР</v>
      </c>
      <c r="AA432" t="str">
        <f ca="1">IFERROR(__xludf.DUMMYFUNCTION("""COMPUTED_VALUE"""),"11-217")</f>
        <v>11-217</v>
      </c>
      <c r="AB432" t="str">
        <f ca="1">IFERROR(__xludf.DUMMYFUNCTION("""COMPUTED_VALUE"""),"40 ОД")</f>
        <v>40 ОД</v>
      </c>
      <c r="AC432" t="str">
        <f ca="1">IFERROR(__xludf.DUMMYFUNCTION("""COMPUTED_VALUE"""),"40510 ОДЕССА-ЗАС I")</f>
        <v>40510 ОДЕССА-ЗАС I</v>
      </c>
      <c r="AD432" t="str">
        <f ca="1">IFERROR(__xludf.DUMMYFUNCTION("""COMPUTED_VALUE"""),"13.04.21 06-00")</f>
        <v>13.04.21 06-00</v>
      </c>
      <c r="AE432" t="str">
        <f ca="1">IFERROR(__xludf.DUMMYFUNCTION("""COMPUTED_VALUE"""),"109 OCТPOКOНEЧНЫЙ НAКAТ ГPEБНЯ")</f>
        <v>109 OCТPOКOНEЧНЫЙ НAКAТ ГPEБНЯ</v>
      </c>
      <c r="AF432" t="str">
        <f ca="1">IFERROR(__xludf.DUMMYFUNCTION("""COMPUTED_VALUE"""),"40 ОД")</f>
        <v>40 ОД</v>
      </c>
      <c r="AG432" t="str">
        <f ca="1">IFERROR(__xludf.DUMMYFUNCTION("""COMPUTED_VALUE"""),"40510 ОДЕССА-ЗАС I")</f>
        <v>40510 ОДЕССА-ЗАС I</v>
      </c>
      <c r="AH432" t="str">
        <f ca="1">IFERROR(__xludf.DUMMYFUNCTION("""COMPUTED_VALUE"""),"15.04.21 17-20")</f>
        <v>15.04.21 17-20</v>
      </c>
      <c r="AI432" s="21">
        <f ca="1">IFERROR(__xludf.DUMMYFUNCTION("""COMPUTED_VALUE"""),44420.3583449074)</f>
        <v>44420.358344907399</v>
      </c>
    </row>
    <row r="433" spans="1:35" ht="13" x14ac:dyDescent="0.15">
      <c r="A433">
        <f ca="1">IFERROR(__xludf.DUMMYFUNCTION("""COMPUTED_VALUE"""),1768)</f>
        <v>1768</v>
      </c>
      <c r="B433" t="str">
        <f ca="1">IFERROR(__xludf.DUMMYFUNCTION("""COMPUTED_VALUE"""),"ВИК")</f>
        <v>ВИК</v>
      </c>
      <c r="C433" t="str">
        <f ca="1">IFERROR(__xludf.DUMMYFUNCTION("""COMPUTED_VALUE"""),"ВИК")</f>
        <v>ВИК</v>
      </c>
      <c r="D433">
        <f ca="1">IFERROR(__xludf.DUMMYFUNCTION("""COMPUTED_VALUE"""),24383747)</f>
        <v>24383747</v>
      </c>
      <c r="E433" t="str">
        <f ca="1">IFERROR(__xludf.DUMMYFUNCTION("""COMPUTED_VALUE"""),"20 КРЫТЫЕ")</f>
        <v>20 КРЫТЫЕ</v>
      </c>
      <c r="F433">
        <f ca="1">IFERROR(__xludf.DUMMYFUNCTION("""COMPUTED_VALUE"""),42103)</f>
        <v>42103</v>
      </c>
      <c r="G433" t="str">
        <f ca="1">IFERROR(__xludf.DUMMYFUNCTION("""COMPUTED_VALUE"""),"ВАГОНЫ ЖД СВ")</f>
        <v>ВАГОНЫ ЖД СВ</v>
      </c>
      <c r="H433">
        <f ca="1">IFERROR(__xludf.DUMMYFUNCTION("""COMPUTED_VALUE"""),0)</f>
        <v>0</v>
      </c>
      <c r="I433">
        <f ca="1">IFERROR(__xludf.DUMMYFUNCTION("""COMPUTED_VALUE"""),4714)</f>
        <v>4714</v>
      </c>
      <c r="J433" t="str">
        <f ca="1">IFERROR(__xludf.DUMMYFUNCTION("""COMPUTED_VALUE"""),"3574 (49460-087-49000) БАХМУТ - ЛИМАН")</f>
        <v>3574 (49460-087-49000) БАХМУТ - ЛИМАН</v>
      </c>
      <c r="K433">
        <f ca="1">IFERROR(__xludf.DUMMYFUNCTION("""COMPUTED_VALUE"""),49480)</f>
        <v>49480</v>
      </c>
      <c r="L433" t="str">
        <f ca="1">IFERROR(__xludf.DUMMYFUNCTION("""COMPUTED_VALUE"""),"СОЛЬ")</f>
        <v>СОЛЬ</v>
      </c>
      <c r="M433" t="str">
        <f ca="1">IFERROR(__xludf.DUMMYFUNCTION("""COMPUTED_VALUE"""),"29.07.21 13-00")</f>
        <v>29.07.21 13-00</v>
      </c>
      <c r="N433" t="str">
        <f ca="1">IFERROR(__xludf.DUMMYFUNCTION("""COMPUTED_VALUE"""),"98 ОТОТ")</f>
        <v>98 ОТОТ</v>
      </c>
      <c r="O433">
        <f ca="1">IFERROR(__xludf.DUMMYFUNCTION("""COMPUTED_VALUE"""),49480)</f>
        <v>49480</v>
      </c>
      <c r="P433" t="str">
        <f ca="1">IFERROR(__xludf.DUMMYFUNCTION("""COMPUTED_VALUE"""),"СОЛЬ")</f>
        <v>СОЛЬ</v>
      </c>
      <c r="Q433">
        <f ca="1">IFERROR(__xludf.DUMMYFUNCTION("""COMPUTED_VALUE"""),44520)</f>
        <v>44520</v>
      </c>
      <c r="R433" t="str">
        <f ca="1">IFERROR(__xludf.DUMMYFUNCTION("""COMPUTED_VALUE"""),"ТОРОПИЛОВКА")</f>
        <v>ТОРОПИЛОВКА</v>
      </c>
      <c r="S433" t="str">
        <f ca="1">IFERROR(__xludf.DUMMYFUNCTION("""COMPUTED_VALUE"""),"20.07.21 16-50")</f>
        <v>20.07.21 16-50</v>
      </c>
      <c r="T433">
        <f ca="1">IFERROR(__xludf.DUMMYFUNCTION("""COMPUTED_VALUE"""),4456)</f>
        <v>4456</v>
      </c>
      <c r="U433" t="str">
        <f ca="1">IFERROR(__xludf.DUMMYFUNCTION("""COMPUTED_VALUE"""),"26.07.2023 ДР")</f>
        <v>26.07.2023 ДР</v>
      </c>
      <c r="AA433" t="str">
        <f ca="1">IFERROR(__xludf.DUMMYFUNCTION("""COMPUTED_VALUE"""),"11-217")</f>
        <v>11-217</v>
      </c>
      <c r="AB433" t="str">
        <f ca="1">IFERROR(__xludf.DUMMYFUNCTION("""COMPUTED_VALUE"""),"40 ОД")</f>
        <v>40 ОД</v>
      </c>
      <c r="AC433" t="str">
        <f ca="1">IFERROR(__xludf.DUMMYFUNCTION("""COMPUTED_VALUE"""),"41190 ПОМОШНАЯ")</f>
        <v>41190 ПОМОШНАЯ</v>
      </c>
      <c r="AD433" t="str">
        <f ca="1">IFERROR(__xludf.DUMMYFUNCTION("""COMPUTED_VALUE"""),"21.07.20 10-00")</f>
        <v>21.07.20 10-00</v>
      </c>
      <c r="AE433" t="str">
        <f ca="1">IFERROR(__xludf.DUMMYFUNCTION("""COMPUTED_VALUE"""),"570 ИCТEК КAЛЕНДАРНЫЙ CPOК ДEПOВCКОГО PEМOНТA")</f>
        <v>570 ИCТEК КAЛЕНДАРНЫЙ CPOК ДEПOВCКОГО PEМOНТA</v>
      </c>
      <c r="AF433" t="str">
        <f ca="1">IFERROR(__xludf.DUMMYFUNCTION("""COMPUTED_VALUE"""),"40 ОД")</f>
        <v>40 ОД</v>
      </c>
      <c r="AG433" t="str">
        <f ca="1">IFERROR(__xludf.DUMMYFUNCTION("""COMPUTED_VALUE"""),"41190 ПОМОШНАЯ")</f>
        <v>41190 ПОМОШНАЯ</v>
      </c>
      <c r="AH433" t="str">
        <f ca="1">IFERROR(__xludf.DUMMYFUNCTION("""COMPUTED_VALUE"""),"26.07.20 15-00")</f>
        <v>26.07.20 15-00</v>
      </c>
      <c r="AI433" s="21">
        <f ca="1">IFERROR(__xludf.DUMMYFUNCTION("""COMPUTED_VALUE"""),44420.3583449074)</f>
        <v>44420.358344907399</v>
      </c>
    </row>
    <row r="434" spans="1:35" ht="13" x14ac:dyDescent="0.15">
      <c r="A434">
        <f ca="1">IFERROR(__xludf.DUMMYFUNCTION("""COMPUTED_VALUE"""),1769)</f>
        <v>1769</v>
      </c>
      <c r="B434" t="str">
        <f ca="1">IFERROR(__xludf.DUMMYFUNCTION("""COMPUTED_VALUE"""),"ВИК")</f>
        <v>ВИК</v>
      </c>
      <c r="C434" t="str">
        <f ca="1">IFERROR(__xludf.DUMMYFUNCTION("""COMPUTED_VALUE"""),"ВИК")</f>
        <v>ВИК</v>
      </c>
      <c r="D434">
        <f ca="1">IFERROR(__xludf.DUMMYFUNCTION("""COMPUTED_VALUE"""),24383754)</f>
        <v>24383754</v>
      </c>
      <c r="E434" t="str">
        <f ca="1">IFERROR(__xludf.DUMMYFUNCTION("""COMPUTED_VALUE"""),"20 КРЫТЫЕ")</f>
        <v>20 КРЫТЫЕ</v>
      </c>
      <c r="F434">
        <f ca="1">IFERROR(__xludf.DUMMYFUNCTION("""COMPUTED_VALUE"""),42103)</f>
        <v>42103</v>
      </c>
      <c r="G434" t="str">
        <f ca="1">IFERROR(__xludf.DUMMYFUNCTION("""COMPUTED_VALUE"""),"ВАГОНЫ ЖД СВ")</f>
        <v>ВАГОНЫ ЖД СВ</v>
      </c>
      <c r="H434">
        <f ca="1">IFERROR(__xludf.DUMMYFUNCTION("""COMPUTED_VALUE"""),0)</f>
        <v>0</v>
      </c>
      <c r="I434">
        <f ca="1">IFERROR(__xludf.DUMMYFUNCTION("""COMPUTED_VALUE"""),4026)</f>
        <v>4026</v>
      </c>
      <c r="J434" t="str">
        <f ca="1">IFERROR(__xludf.DUMMYFUNCTION("""COMPUTED_VALUE"""),"3522 (48620-063-48630) ВОЛНОВАХА - ВЕЛИКО-АНАД")</f>
        <v>3522 (48620-063-48630) ВОЛНОВАХА - ВЕЛИКО-АНАД</v>
      </c>
      <c r="K434">
        <f ca="1">IFERROR(__xludf.DUMMYFUNCTION("""COMPUTED_VALUE"""),48630)</f>
        <v>48630</v>
      </c>
      <c r="L434" t="str">
        <f ca="1">IFERROR(__xludf.DUMMYFUNCTION("""COMPUTED_VALUE"""),"ВЕЛИКО-АНАД")</f>
        <v>ВЕЛИКО-АНАД</v>
      </c>
      <c r="M434" t="str">
        <f ca="1">IFERROR(__xludf.DUMMYFUNCTION("""COMPUTED_VALUE"""),"02.08.21 15-20")</f>
        <v>02.08.21 15-20</v>
      </c>
      <c r="N434" t="str">
        <f ca="1">IFERROR(__xludf.DUMMYFUNCTION("""COMPUTED_VALUE"""),"98 ОТОТ")</f>
        <v>98 ОТОТ</v>
      </c>
      <c r="O434">
        <f ca="1">IFERROR(__xludf.DUMMYFUNCTION("""COMPUTED_VALUE"""),48630)</f>
        <v>48630</v>
      </c>
      <c r="P434" t="str">
        <f ca="1">IFERROR(__xludf.DUMMYFUNCTION("""COMPUTED_VALUE"""),"ВЕЛИКО-АНАД")</f>
        <v>ВЕЛИКО-АНАД</v>
      </c>
      <c r="Q434">
        <f ca="1">IFERROR(__xludf.DUMMYFUNCTION("""COMPUTED_VALUE"""),32060)</f>
        <v>32060</v>
      </c>
      <c r="R434" t="str">
        <f ca="1">IFERROR(__xludf.DUMMYFUNCTION("""COMPUTED_VALUE"""),"ПОЧАЙНА")</f>
        <v>ПОЧАЙНА</v>
      </c>
      <c r="S434" t="str">
        <f ca="1">IFERROR(__xludf.DUMMYFUNCTION("""COMPUTED_VALUE"""),"24.07.21 16-20")</f>
        <v>24.07.21 16-20</v>
      </c>
      <c r="T434">
        <f ca="1">IFERROR(__xludf.DUMMYFUNCTION("""COMPUTED_VALUE"""),4456)</f>
        <v>4456</v>
      </c>
      <c r="U434" t="str">
        <f ca="1">IFERROR(__xludf.DUMMYFUNCTION("""COMPUTED_VALUE"""),"03.05.2022 ДР")</f>
        <v>03.05.2022 ДР</v>
      </c>
      <c r="AA434" t="str">
        <f ca="1">IFERROR(__xludf.DUMMYFUNCTION("""COMPUTED_VALUE"""),"11-217")</f>
        <v>11-217</v>
      </c>
      <c r="AB434" t="str">
        <f ca="1">IFERROR(__xludf.DUMMYFUNCTION("""COMPUTED_VALUE"""),"40 ОД")</f>
        <v>40 ОД</v>
      </c>
      <c r="AC434" t="str">
        <f ca="1">IFERROR(__xludf.DUMMYFUNCTION("""COMPUTED_VALUE"""),"42000 ИМ.Т.ШЕВЧЕНК")</f>
        <v>42000 ИМ.Т.ШЕВЧЕНК</v>
      </c>
      <c r="AD434" t="str">
        <f ca="1">IFERROR(__xludf.DUMMYFUNCTION("""COMPUTED_VALUE"""),"02.05.19 07-50")</f>
        <v>02.05.19 07-50</v>
      </c>
      <c r="AE434" t="str">
        <f ca="1">IFERROR(__xludf.DUMMYFUNCTION("""COMPUTED_VALUE"""),"571 ИCТEК КAЛЕНДАРНЫЙ CPOК КAПИТAЛЬНОГО PEМOНТA")</f>
        <v>571 ИCТEК КAЛЕНДАРНЫЙ CPOК КAПИТAЛЬНОГО PEМOНТA</v>
      </c>
      <c r="AF434" t="str">
        <f ca="1">IFERROR(__xludf.DUMMYFUNCTION("""COMPUTED_VALUE"""),"40 ОД")</f>
        <v>40 ОД</v>
      </c>
      <c r="AG434" t="str">
        <f ca="1">IFERROR(__xludf.DUMMYFUNCTION("""COMPUTED_VALUE"""),"42000 ИМ.Т.ШЕВЧЕНК")</f>
        <v>42000 ИМ.Т.ШЕВЧЕНК</v>
      </c>
      <c r="AH434" t="str">
        <f ca="1">IFERROR(__xludf.DUMMYFUNCTION("""COMPUTED_VALUE"""),"03.05.19 16-25")</f>
        <v>03.05.19 16-25</v>
      </c>
      <c r="AI434" s="21">
        <f ca="1">IFERROR(__xludf.DUMMYFUNCTION("""COMPUTED_VALUE"""),44420.3583449074)</f>
        <v>44420.358344907399</v>
      </c>
    </row>
    <row r="435" spans="1:35" ht="13" x14ac:dyDescent="0.15">
      <c r="A435">
        <f ca="1">IFERROR(__xludf.DUMMYFUNCTION("""COMPUTED_VALUE"""),1770)</f>
        <v>1770</v>
      </c>
      <c r="B435" t="str">
        <f ca="1">IFERROR(__xludf.DUMMYFUNCTION("""COMPUTED_VALUE"""),"ВИК")</f>
        <v>ВИК</v>
      </c>
      <c r="C435" t="str">
        <f ca="1">IFERROR(__xludf.DUMMYFUNCTION("""COMPUTED_VALUE"""),"ВИК")</f>
        <v>ВИК</v>
      </c>
      <c r="D435">
        <f ca="1">IFERROR(__xludf.DUMMYFUNCTION("""COMPUTED_VALUE"""),24383812)</f>
        <v>24383812</v>
      </c>
      <c r="E435" t="str">
        <f ca="1">IFERROR(__xludf.DUMMYFUNCTION("""COMPUTED_VALUE"""),"20 КРЫТЫЕ")</f>
        <v>20 КРЫТЫЕ</v>
      </c>
      <c r="F435">
        <f ca="1">IFERROR(__xludf.DUMMYFUNCTION("""COMPUTED_VALUE"""),23304)</f>
        <v>23304</v>
      </c>
      <c r="G435" t="str">
        <f ca="1">IFERROR(__xludf.DUMMYFUNCTION("""COMPUTED_VALUE"""),"ГИПС ПР")</f>
        <v>ГИПС ПР</v>
      </c>
      <c r="H435">
        <f ca="1">IFERROR(__xludf.DUMMYFUNCTION("""COMPUTED_VALUE"""),62)</f>
        <v>62</v>
      </c>
      <c r="I435">
        <f ca="1">IFERROR(__xludf.DUMMYFUNCTION("""COMPUTED_VALUE"""),3314)</f>
        <v>3314</v>
      </c>
      <c r="J435" t="str">
        <f ca="1">IFERROR(__xludf.DUMMYFUNCTION("""COMPUTED_VALUE"""),"5555 (32000-611-00010) ДАРНИЦА -")</f>
        <v>5555 (32000-611-00010) ДАРНИЦА -</v>
      </c>
      <c r="K435">
        <f ca="1">IFERROR(__xludf.DUMMYFUNCTION("""COMPUTED_VALUE"""),32000)</f>
        <v>32000</v>
      </c>
      <c r="L435" t="str">
        <f ca="1">IFERROR(__xludf.DUMMYFUNCTION("""COMPUTED_VALUE"""),"ДАРНИЦА")</f>
        <v>ДАРНИЦА</v>
      </c>
      <c r="M435" t="str">
        <f ca="1">IFERROR(__xludf.DUMMYFUNCTION("""COMPUTED_VALUE"""),"12.08.21 06-06")</f>
        <v>12.08.21 06-06</v>
      </c>
      <c r="N435" t="str">
        <f ca="1">IFERROR(__xludf.DUMMYFUNCTION("""COMPUTED_VALUE"""),"04 РАСФ")</f>
        <v>04 РАСФ</v>
      </c>
      <c r="O435">
        <f ca="1">IFERROR(__xludf.DUMMYFUNCTION("""COMPUTED_VALUE"""),32040)</f>
        <v>32040</v>
      </c>
      <c r="P435" t="str">
        <f ca="1">IFERROR(__xludf.DUMMYFUNCTION("""COMPUTED_VALUE"""),"ГРУШКИ")</f>
        <v>ГРУШКИ</v>
      </c>
      <c r="Q435">
        <f ca="1">IFERROR(__xludf.DUMMYFUNCTION("""COMPUTED_VALUE"""),49620)</f>
        <v>49620</v>
      </c>
      <c r="R435" t="str">
        <f ca="1">IFERROR(__xludf.DUMMYFUNCTION("""COMPUTED_VALUE"""),"ДЕКОНСКАЯ")</f>
        <v>ДЕКОНСКАЯ</v>
      </c>
      <c r="S435" t="str">
        <f ca="1">IFERROR(__xludf.DUMMYFUNCTION("""COMPUTED_VALUE"""),"06.08.21 09-30")</f>
        <v>06.08.21 09-30</v>
      </c>
      <c r="T435">
        <f ca="1">IFERROR(__xludf.DUMMYFUNCTION("""COMPUTED_VALUE"""),4149)</f>
        <v>4149</v>
      </c>
      <c r="U435" t="str">
        <f ca="1">IFERROR(__xludf.DUMMYFUNCTION("""COMPUTED_VALUE"""),"01.07.2023 ДР")</f>
        <v>01.07.2023 ДР</v>
      </c>
      <c r="AA435" t="str">
        <f ca="1">IFERROR(__xludf.DUMMYFUNCTION("""COMPUTED_VALUE"""),"11-217")</f>
        <v>11-217</v>
      </c>
      <c r="AB435" t="str">
        <f ca="1">IFERROR(__xludf.DUMMYFUNCTION("""COMPUTED_VALUE"""),"40 ОД")</f>
        <v>40 ОД</v>
      </c>
      <c r="AC435" t="str">
        <f ca="1">IFERROR(__xludf.DUMMYFUNCTION("""COMPUTED_VALUE"""),"41190 ПОМОШНАЯ")</f>
        <v>41190 ПОМОШНАЯ</v>
      </c>
      <c r="AD435" t="str">
        <f ca="1">IFERROR(__xludf.DUMMYFUNCTION("""COMPUTED_VALUE"""),"20.06.21 14-00")</f>
        <v>20.06.21 14-00</v>
      </c>
      <c r="AE435" t="str">
        <f ca="1">IFERROR(__xludf.DUMMYFUNCTION("""COMPUTED_VALUE"""),"570 ИCТEК КAЛЕНДАРНЫЙ CPOК ДEПOВCКОГО PEМOНТA")</f>
        <v>570 ИCТEК КAЛЕНДАРНЫЙ CPOК ДEПOВCКОГО PEМOНТA</v>
      </c>
      <c r="AF435" t="str">
        <f ca="1">IFERROR(__xludf.DUMMYFUNCTION("""COMPUTED_VALUE"""),"40 ОД")</f>
        <v>40 ОД</v>
      </c>
      <c r="AG435" t="str">
        <f ca="1">IFERROR(__xludf.DUMMYFUNCTION("""COMPUTED_VALUE"""),"41190 ПОМОШНАЯ")</f>
        <v>41190 ПОМОШНАЯ</v>
      </c>
      <c r="AH435" t="str">
        <f ca="1">IFERROR(__xludf.DUMMYFUNCTION("""COMPUTED_VALUE"""),"01.07.21 17-00")</f>
        <v>01.07.21 17-00</v>
      </c>
      <c r="AI435" s="21">
        <f ca="1">IFERROR(__xludf.DUMMYFUNCTION("""COMPUTED_VALUE"""),44420.3583449074)</f>
        <v>44420.358344907399</v>
      </c>
    </row>
    <row r="436" spans="1:35" ht="13" x14ac:dyDescent="0.15">
      <c r="A436">
        <f ca="1">IFERROR(__xludf.DUMMYFUNCTION("""COMPUTED_VALUE"""),1771)</f>
        <v>1771</v>
      </c>
      <c r="B436" t="str">
        <f ca="1">IFERROR(__xludf.DUMMYFUNCTION("""COMPUTED_VALUE"""),"ВИК")</f>
        <v>ВИК</v>
      </c>
      <c r="C436" t="str">
        <f ca="1">IFERROR(__xludf.DUMMYFUNCTION("""COMPUTED_VALUE"""),"ВИК")</f>
        <v>ВИК</v>
      </c>
      <c r="D436">
        <f ca="1">IFERROR(__xludf.DUMMYFUNCTION("""COMPUTED_VALUE"""),24383903)</f>
        <v>24383903</v>
      </c>
      <c r="E436" t="str">
        <f ca="1">IFERROR(__xludf.DUMMYFUNCTION("""COMPUTED_VALUE"""),"20 КРЫТЫЕ")</f>
        <v>20 КРЫТЫЕ</v>
      </c>
      <c r="F436">
        <f ca="1">IFERROR(__xludf.DUMMYFUNCTION("""COMPUTED_VALUE"""),54223)</f>
        <v>54223</v>
      </c>
      <c r="G436" t="str">
        <f ca="1">IFERROR(__xludf.DUMMYFUNCTION("""COMPUTED_VALUE"""),"ШРОТ 1,5-11ВЛ")</f>
        <v>ШРОТ 1,5-11ВЛ</v>
      </c>
      <c r="H436">
        <f ca="1">IFERROR(__xludf.DUMMYFUNCTION("""COMPUTED_VALUE"""),64)</f>
        <v>64</v>
      </c>
      <c r="I436">
        <f ca="1">IFERROR(__xludf.DUMMYFUNCTION("""COMPUTED_VALUE"""),1930)</f>
        <v>1930</v>
      </c>
      <c r="K436">
        <f ca="1">IFERROR(__xludf.DUMMYFUNCTION("""COMPUTED_VALUE"""),35260)</f>
        <v>35260</v>
      </c>
      <c r="L436" t="str">
        <f ca="1">IFERROR(__xludf.DUMMYFUNCTION("""COMPUTED_VALUE"""),"ИЗОВ-Э-ПКП")</f>
        <v>ИЗОВ-Э-ПКП</v>
      </c>
      <c r="M436" t="str">
        <f ca="1">IFERROR(__xludf.DUMMYFUNCTION("""COMPUTED_VALUE"""),"06.07.21 08-29")</f>
        <v>06.07.21 08-29</v>
      </c>
      <c r="N436" t="str">
        <f ca="1">IFERROR(__xludf.DUMMYFUNCTION("""COMPUTED_VALUE"""),"65 РСФП")</f>
        <v>65 РСФП</v>
      </c>
      <c r="O436">
        <f ca="1">IFERROR(__xludf.DUMMYFUNCTION("""COMPUTED_VALUE"""),35260)</f>
        <v>35260</v>
      </c>
      <c r="P436" t="str">
        <f ca="1">IFERROR(__xludf.DUMMYFUNCTION("""COMPUTED_VALUE"""),"ИЗОВ-Э-ПКП")</f>
        <v>ИЗОВ-Э-ПКП</v>
      </c>
      <c r="Q436">
        <f ca="1">IFERROR(__xludf.DUMMYFUNCTION("""COMPUTED_VALUE"""),46350)</f>
        <v>46350</v>
      </c>
      <c r="R436" t="str">
        <f ca="1">IFERROR(__xludf.DUMMYFUNCTION("""COMPUTED_VALUE"""),"ПЕРЕДАТОЧНАЯ")</f>
        <v>ПЕРЕДАТОЧНАЯ</v>
      </c>
      <c r="S436" t="str">
        <f ca="1">IFERROR(__xludf.DUMMYFUNCTION("""COMPUTED_VALUE"""),"01.07.21 17-30")</f>
        <v>01.07.21 17-30</v>
      </c>
      <c r="T436">
        <f ca="1">IFERROR(__xludf.DUMMYFUNCTION("""COMPUTED_VALUE"""),4456)</f>
        <v>4456</v>
      </c>
      <c r="U436" t="str">
        <f ca="1">IFERROR(__xludf.DUMMYFUNCTION("""COMPUTED_VALUE"""),"27.05.2023 ДР")</f>
        <v>27.05.2023 ДР</v>
      </c>
      <c r="AA436" t="str">
        <f ca="1">IFERROR(__xludf.DUMMYFUNCTION("""COMPUTED_VALUE"""),"11-217")</f>
        <v>11-217</v>
      </c>
      <c r="AB436" t="str">
        <f ca="1">IFERROR(__xludf.DUMMYFUNCTION("""COMPUTED_VALUE"""),"40 ОД")</f>
        <v>40 ОД</v>
      </c>
      <c r="AC436" t="str">
        <f ca="1">IFERROR(__xludf.DUMMYFUNCTION("""COMPUTED_VALUE"""),"41190 ПОМОШНАЯ")</f>
        <v>41190 ПОМОШНАЯ</v>
      </c>
      <c r="AD436" t="str">
        <f ca="1">IFERROR(__xludf.DUMMYFUNCTION("""COMPUTED_VALUE"""),"27.03.21 14-55")</f>
        <v>27.03.21 14-55</v>
      </c>
      <c r="AE436" t="str">
        <f ca="1">IFERROR(__xludf.DUMMYFUNCTION("""COMPUTED_VALUE"""),"574 ДОСРОЧНАЯ ПОCТAНOВКA В ДЕПОВСКОЙ PЕМОНТ ПO ТEXНИЧЕСКОМУ COCТOЯ")</f>
        <v>574 ДОСРОЧНАЯ ПОCТAНOВКA В ДЕПОВСКОЙ PЕМОНТ ПO ТEXНИЧЕСКОМУ COCТOЯ</v>
      </c>
      <c r="AF436" t="str">
        <f ca="1">IFERROR(__xludf.DUMMYFUNCTION("""COMPUTED_VALUE"""),"40 ОД")</f>
        <v>40 ОД</v>
      </c>
      <c r="AG436" t="str">
        <f ca="1">IFERROR(__xludf.DUMMYFUNCTION("""COMPUTED_VALUE"""),"41190 ПОМОШНАЯ")</f>
        <v>41190 ПОМОШНАЯ</v>
      </c>
      <c r="AH436" t="str">
        <f ca="1">IFERROR(__xludf.DUMMYFUNCTION("""COMPUTED_VALUE"""),"27.05.21 18-00")</f>
        <v>27.05.21 18-00</v>
      </c>
      <c r="AI436" s="21">
        <f ca="1">IFERROR(__xludf.DUMMYFUNCTION("""COMPUTED_VALUE"""),44420.3583449074)</f>
        <v>44420.358344907399</v>
      </c>
    </row>
    <row r="437" spans="1:35" ht="13" x14ac:dyDescent="0.15">
      <c r="A437">
        <f ca="1">IFERROR(__xludf.DUMMYFUNCTION("""COMPUTED_VALUE"""),1772)</f>
        <v>1772</v>
      </c>
      <c r="B437" t="str">
        <f ca="1">IFERROR(__xludf.DUMMYFUNCTION("""COMPUTED_VALUE"""),"ВИК")</f>
        <v>ВИК</v>
      </c>
      <c r="C437" t="str">
        <f ca="1">IFERROR(__xludf.DUMMYFUNCTION("""COMPUTED_VALUE"""),"ВИК")</f>
        <v>ВИК</v>
      </c>
      <c r="D437">
        <f ca="1">IFERROR(__xludf.DUMMYFUNCTION("""COMPUTED_VALUE"""),24384018)</f>
        <v>24384018</v>
      </c>
      <c r="E437" t="str">
        <f ca="1">IFERROR(__xludf.DUMMYFUNCTION("""COMPUTED_VALUE"""),"20 КРЫТЫЕ")</f>
        <v>20 КРЫТЫЕ</v>
      </c>
      <c r="F437">
        <f ca="1">IFERROR(__xludf.DUMMYFUNCTION("""COMPUTED_VALUE"""),42103)</f>
        <v>42103</v>
      </c>
      <c r="G437" t="str">
        <f ca="1">IFERROR(__xludf.DUMMYFUNCTION("""COMPUTED_VALUE"""),"ВАГОНЫ ЖД СВ")</f>
        <v>ВАГОНЫ ЖД СВ</v>
      </c>
      <c r="H437">
        <f ca="1">IFERROR(__xludf.DUMMYFUNCTION("""COMPUTED_VALUE"""),0)</f>
        <v>0</v>
      </c>
      <c r="I437">
        <f ca="1">IFERROR(__xludf.DUMMYFUNCTION("""COMPUTED_VALUE"""),4149)</f>
        <v>4149</v>
      </c>
      <c r="J437" t="str">
        <f ca="1">IFERROR(__xludf.DUMMYFUNCTION("""COMPUTED_VALUE"""),"3802 (49640-064-49620)  - ДЕКОНСКАЯ")</f>
        <v>3802 (49640-064-49620)  - ДЕКОНСКАЯ</v>
      </c>
      <c r="K437">
        <f ca="1">IFERROR(__xludf.DUMMYFUNCTION("""COMPUTED_VALUE"""),49620)</f>
        <v>49620</v>
      </c>
      <c r="L437" t="str">
        <f ca="1">IFERROR(__xludf.DUMMYFUNCTION("""COMPUTED_VALUE"""),"ДЕКОНСКАЯ")</f>
        <v>ДЕКОНСКАЯ</v>
      </c>
      <c r="M437" t="str">
        <f ca="1">IFERROR(__xludf.DUMMYFUNCTION("""COMPUTED_VALUE"""),"08.08.21 11-00")</f>
        <v>08.08.21 11-00</v>
      </c>
      <c r="N437" t="str">
        <f ca="1">IFERROR(__xludf.DUMMYFUNCTION("""COMPUTED_VALUE"""),"98 ОТОТ")</f>
        <v>98 ОТОТ</v>
      </c>
      <c r="O437">
        <f ca="1">IFERROR(__xludf.DUMMYFUNCTION("""COMPUTED_VALUE"""),49620)</f>
        <v>49620</v>
      </c>
      <c r="P437" t="str">
        <f ca="1">IFERROR(__xludf.DUMMYFUNCTION("""COMPUTED_VALUE"""),"ДЕКОНСКАЯ")</f>
        <v>ДЕКОНСКАЯ</v>
      </c>
      <c r="Q437">
        <f ca="1">IFERROR(__xludf.DUMMYFUNCTION("""COMPUTED_VALUE"""),38850)</f>
        <v>38850</v>
      </c>
      <c r="R437" t="str">
        <f ca="1">IFERROR(__xludf.DUMMYFUNCTION("""COMPUTED_VALUE"""),"ХРЫПЛИН")</f>
        <v>ХРЫПЛИН</v>
      </c>
      <c r="S437" t="str">
        <f ca="1">IFERROR(__xludf.DUMMYFUNCTION("""COMPUTED_VALUE"""),"27.07.21 17-00")</f>
        <v>27.07.21 17-00</v>
      </c>
      <c r="T437">
        <f ca="1">IFERROR(__xludf.DUMMYFUNCTION("""COMPUTED_VALUE"""),4456)</f>
        <v>4456</v>
      </c>
      <c r="U437" t="str">
        <f ca="1">IFERROR(__xludf.DUMMYFUNCTION("""COMPUTED_VALUE"""),"01.04.2022 ДР")</f>
        <v>01.04.2022 ДР</v>
      </c>
      <c r="AA437" t="str">
        <f ca="1">IFERROR(__xludf.DUMMYFUNCTION("""COMPUTED_VALUE"""),"11-217")</f>
        <v>11-217</v>
      </c>
      <c r="AB437" t="str">
        <f ca="1">IFERROR(__xludf.DUMMYFUNCTION("""COMPUTED_VALUE"""),"40 ОД")</f>
        <v>40 ОД</v>
      </c>
      <c r="AC437" t="str">
        <f ca="1">IFERROR(__xludf.DUMMYFUNCTION("""COMPUTED_VALUE"""),"41190 ПОМОШНАЯ")</f>
        <v>41190 ПОМОШНАЯ</v>
      </c>
      <c r="AD437" t="str">
        <f ca="1">IFERROR(__xludf.DUMMYFUNCTION("""COMPUTED_VALUE"""),"26.03.21 07-55")</f>
        <v>26.03.21 07-55</v>
      </c>
      <c r="AE437" t="str">
        <f ca="1">IFERROR(__xludf.DUMMYFUNCTION("""COMPUTED_VALUE"""),"102 ТOНКИЙ ГPEБEНЬ")</f>
        <v>102 ТOНКИЙ ГPEБEНЬ</v>
      </c>
      <c r="AF437" t="str">
        <f ca="1">IFERROR(__xludf.DUMMYFUNCTION("""COMPUTED_VALUE"""),"40 ОД")</f>
        <v>40 ОД</v>
      </c>
      <c r="AG437" t="str">
        <f ca="1">IFERROR(__xludf.DUMMYFUNCTION("""COMPUTED_VALUE"""),"41190 ПОМОШНАЯ")</f>
        <v>41190 ПОМОШНАЯ</v>
      </c>
      <c r="AH437" t="str">
        <f ca="1">IFERROR(__xludf.DUMMYFUNCTION("""COMPUTED_VALUE"""),"26.03.21 15-05")</f>
        <v>26.03.21 15-05</v>
      </c>
      <c r="AI437" s="21">
        <f ca="1">IFERROR(__xludf.DUMMYFUNCTION("""COMPUTED_VALUE"""),44420.3583449074)</f>
        <v>44420.358344907399</v>
      </c>
    </row>
    <row r="438" spans="1:35" ht="13" x14ac:dyDescent="0.15">
      <c r="A438">
        <f ca="1">IFERROR(__xludf.DUMMYFUNCTION("""COMPUTED_VALUE"""),1773)</f>
        <v>1773</v>
      </c>
      <c r="B438" t="str">
        <f ca="1">IFERROR(__xludf.DUMMYFUNCTION("""COMPUTED_VALUE"""),"ВИК")</f>
        <v>ВИК</v>
      </c>
      <c r="C438" t="str">
        <f ca="1">IFERROR(__xludf.DUMMYFUNCTION("""COMPUTED_VALUE"""),"ВИК")</f>
        <v>ВИК</v>
      </c>
      <c r="D438">
        <f ca="1">IFERROR(__xludf.DUMMYFUNCTION("""COMPUTED_VALUE"""),24478943)</f>
        <v>24478943</v>
      </c>
      <c r="E438" t="str">
        <f ca="1">IFERROR(__xludf.DUMMYFUNCTION("""COMPUTED_VALUE"""),"20 КРЫТЫЕ")</f>
        <v>20 КРЫТЫЕ</v>
      </c>
      <c r="F438">
        <f ca="1">IFERROR(__xludf.DUMMYFUNCTION("""COMPUTED_VALUE"""),42103)</f>
        <v>42103</v>
      </c>
      <c r="G438" t="str">
        <f ca="1">IFERROR(__xludf.DUMMYFUNCTION("""COMPUTED_VALUE"""),"ВАГОНЫ ЖД СВ")</f>
        <v>ВАГОНЫ ЖД СВ</v>
      </c>
      <c r="H438">
        <f ca="1">IFERROR(__xludf.DUMMYFUNCTION("""COMPUTED_VALUE"""),0)</f>
        <v>0</v>
      </c>
      <c r="I438">
        <f ca="1">IFERROR(__xludf.DUMMYFUNCTION("""COMPUTED_VALUE"""),4149)</f>
        <v>4149</v>
      </c>
      <c r="J438" t="str">
        <f ca="1">IFERROR(__xludf.DUMMYFUNCTION("""COMPUTED_VALUE"""),"1111 (35660-101-35000) РОВНО - ЗДОЛБУНОВ")</f>
        <v>1111 (35660-101-35000) РОВНО - ЗДОЛБУНОВ</v>
      </c>
      <c r="K438">
        <f ca="1">IFERROR(__xludf.DUMMYFUNCTION("""COMPUTED_VALUE"""),35660)</f>
        <v>35660</v>
      </c>
      <c r="L438" t="str">
        <f ca="1">IFERROR(__xludf.DUMMYFUNCTION("""COMPUTED_VALUE"""),"РОВНО")</f>
        <v>РОВНО</v>
      </c>
      <c r="M438" t="str">
        <f ca="1">IFERROR(__xludf.DUMMYFUNCTION("""COMPUTED_VALUE"""),"11.08.21 04-00")</f>
        <v>11.08.21 04-00</v>
      </c>
      <c r="N438" t="str">
        <f ca="1">IFERROR(__xludf.DUMMYFUNCTION("""COMPUTED_VALUE"""),"44 РАСП")</f>
        <v>44 РАСП</v>
      </c>
      <c r="O438">
        <f ca="1">IFERROR(__xludf.DUMMYFUNCTION("""COMPUTED_VALUE"""),49620)</f>
        <v>49620</v>
      </c>
      <c r="P438" t="str">
        <f ca="1">IFERROR(__xludf.DUMMYFUNCTION("""COMPUTED_VALUE"""),"ДЕКОНСКАЯ")</f>
        <v>ДЕКОНСКАЯ</v>
      </c>
      <c r="Q438">
        <f ca="1">IFERROR(__xludf.DUMMYFUNCTION("""COMPUTED_VALUE"""),35660)</f>
        <v>35660</v>
      </c>
      <c r="R438" t="str">
        <f ca="1">IFERROR(__xludf.DUMMYFUNCTION("""COMPUTED_VALUE"""),"РОВНО")</f>
        <v>РОВНО</v>
      </c>
      <c r="S438" t="str">
        <f ca="1">IFERROR(__xludf.DUMMYFUNCTION("""COMPUTED_VALUE"""),"09.08.21 18-20")</f>
        <v>09.08.21 18-20</v>
      </c>
      <c r="T438">
        <f ca="1">IFERROR(__xludf.DUMMYFUNCTION("""COMPUTED_VALUE"""),4456)</f>
        <v>4456</v>
      </c>
      <c r="U438" t="str">
        <f ca="1">IFERROR(__xludf.DUMMYFUNCTION("""COMPUTED_VALUE"""),"18.02.2023 ДР")</f>
        <v>18.02.2023 ДР</v>
      </c>
      <c r="AA438" t="str">
        <f ca="1">IFERROR(__xludf.DUMMYFUNCTION("""COMPUTED_VALUE"""),"11-217")</f>
        <v>11-217</v>
      </c>
      <c r="AB438" t="str">
        <f ca="1">IFERROR(__xludf.DUMMYFUNCTION("""COMPUTED_VALUE"""),"40 ОД")</f>
        <v>40 ОД</v>
      </c>
      <c r="AC438" t="str">
        <f ca="1">IFERROR(__xludf.DUMMYFUNCTION("""COMPUTED_VALUE"""),"41190 ПОМОШНАЯ")</f>
        <v>41190 ПОМОШНАЯ</v>
      </c>
      <c r="AD438" t="str">
        <f ca="1">IFERROR(__xludf.DUMMYFUNCTION("""COMPUTED_VALUE"""),"11.02.21 17-00")</f>
        <v>11.02.21 17-00</v>
      </c>
      <c r="AE438" t="str">
        <f ca="1">IFERROR(__xludf.DUMMYFUNCTION("""COMPUTED_VALUE"""),"570 ИCТEК КAЛЕНДАРНЫЙ CPOК ДEПOВCКОГО PEМOНТA")</f>
        <v>570 ИCТEК КAЛЕНДАРНЫЙ CPOК ДEПOВCКОГО PEМOНТA</v>
      </c>
      <c r="AF438" t="str">
        <f ca="1">IFERROR(__xludf.DUMMYFUNCTION("""COMPUTED_VALUE"""),"40 ОД")</f>
        <v>40 ОД</v>
      </c>
      <c r="AG438" t="str">
        <f ca="1">IFERROR(__xludf.DUMMYFUNCTION("""COMPUTED_VALUE"""),"41190 ПОМОШНАЯ")</f>
        <v>41190 ПОМОШНАЯ</v>
      </c>
      <c r="AH438" t="str">
        <f ca="1">IFERROR(__xludf.DUMMYFUNCTION("""COMPUTED_VALUE"""),"18.02.21 08-30")</f>
        <v>18.02.21 08-30</v>
      </c>
      <c r="AI438" s="21">
        <f ca="1">IFERROR(__xludf.DUMMYFUNCTION("""COMPUTED_VALUE"""),44420.3583449074)</f>
        <v>44420.358344907399</v>
      </c>
    </row>
    <row r="439" spans="1:35" ht="13" x14ac:dyDescent="0.15">
      <c r="A439">
        <f ca="1">IFERROR(__xludf.DUMMYFUNCTION("""COMPUTED_VALUE"""),1774)</f>
        <v>1774</v>
      </c>
      <c r="B439" t="str">
        <f ca="1">IFERROR(__xludf.DUMMYFUNCTION("""COMPUTED_VALUE"""),"ВИК")</f>
        <v>ВИК</v>
      </c>
      <c r="C439" t="str">
        <f ca="1">IFERROR(__xludf.DUMMYFUNCTION("""COMPUTED_VALUE"""),"ВИК")</f>
        <v>ВИК</v>
      </c>
      <c r="D439">
        <f ca="1">IFERROR(__xludf.DUMMYFUNCTION("""COMPUTED_VALUE"""),24479115)</f>
        <v>24479115</v>
      </c>
      <c r="E439" t="str">
        <f ca="1">IFERROR(__xludf.DUMMYFUNCTION("""COMPUTED_VALUE"""),"20 КРЫТЫЕ")</f>
        <v>20 КРЫТЫЕ</v>
      </c>
      <c r="F439">
        <f ca="1">IFERROR(__xludf.DUMMYFUNCTION("""COMPUTED_VALUE"""),30203)</f>
        <v>30203</v>
      </c>
      <c r="G439" t="str">
        <f ca="1">IFERROR(__xludf.DUMMYFUNCTION("""COMPUTED_VALUE"""),"КИРПИЧ КИСЛ ПР")</f>
        <v>КИРПИЧ КИСЛ ПР</v>
      </c>
      <c r="H439">
        <f ca="1">IFERROR(__xludf.DUMMYFUNCTION("""COMPUTED_VALUE"""),64)</f>
        <v>64</v>
      </c>
      <c r="I439">
        <f ca="1">IFERROR(__xludf.DUMMYFUNCTION("""COMPUTED_VALUE"""),7932)</f>
        <v>7932</v>
      </c>
      <c r="J439" t="str">
        <f ca="1">IFERROR(__xludf.DUMMYFUNCTION("""COMPUTED_VALUE"""),"2717 (46000-318-46710) ЗАПОРОЖ-ЛЕВ - КРИВ.РОГ-СОР")</f>
        <v>2717 (46000-318-46710) ЗАПОРОЖ-ЛЕВ - КРИВ.РОГ-СОР</v>
      </c>
      <c r="K439">
        <f ca="1">IFERROR(__xludf.DUMMYFUNCTION("""COMPUTED_VALUE"""),46700)</f>
        <v>46700</v>
      </c>
      <c r="L439" t="str">
        <f ca="1">IFERROR(__xludf.DUMMYFUNCTION("""COMPUTED_VALUE"""),"КРИВ.РОГ-ГЛА")</f>
        <v>КРИВ.РОГ-ГЛА</v>
      </c>
      <c r="M439" t="str">
        <f ca="1">IFERROR(__xludf.DUMMYFUNCTION("""COMPUTED_VALUE"""),"11.08.21 07-00")</f>
        <v>11.08.21 07-00</v>
      </c>
      <c r="N439" t="str">
        <f ca="1">IFERROR(__xludf.DUMMYFUNCTION("""COMPUTED_VALUE"""),"21 ВЫГ2")</f>
        <v>21 ВЫГ2</v>
      </c>
      <c r="O439">
        <f ca="1">IFERROR(__xludf.DUMMYFUNCTION("""COMPUTED_VALUE"""),46700)</f>
        <v>46700</v>
      </c>
      <c r="P439" t="str">
        <f ca="1">IFERROR(__xludf.DUMMYFUNCTION("""COMPUTED_VALUE"""),"КРИВ.РОГ-ГЛА")</f>
        <v>КРИВ.РОГ-ГЛА</v>
      </c>
      <c r="Q439">
        <f ca="1">IFERROR(__xludf.DUMMYFUNCTION("""COMPUTED_VALUE"""),48630)</f>
        <v>48630</v>
      </c>
      <c r="R439" t="str">
        <f ca="1">IFERROR(__xludf.DUMMYFUNCTION("""COMPUTED_VALUE"""),"ВЕЛИКО-АНАД")</f>
        <v>ВЕЛИКО-АНАД</v>
      </c>
      <c r="S439" t="str">
        <f ca="1">IFERROR(__xludf.DUMMYFUNCTION("""COMPUTED_VALUE"""),"05.08.21 12-30")</f>
        <v>05.08.21 12-30</v>
      </c>
      <c r="U439" t="str">
        <f ca="1">IFERROR(__xludf.DUMMYFUNCTION("""COMPUTED_VALUE"""),"04.01.2023 ТР-1")</f>
        <v>04.01.2023 ТР-1</v>
      </c>
      <c r="AA439" t="str">
        <f ca="1">IFERROR(__xludf.DUMMYFUNCTION("""COMPUTED_VALUE"""),"11-217")</f>
        <v>11-217</v>
      </c>
      <c r="AB439" t="str">
        <f ca="1">IFERROR(__xludf.DUMMYFUNCTION("""COMPUTED_VALUE"""),"40 ОД")</f>
        <v>40 ОД</v>
      </c>
      <c r="AC439" t="str">
        <f ca="1">IFERROR(__xludf.DUMMYFUNCTION("""COMPUTED_VALUE"""),"41190 ПОМОШНАЯ")</f>
        <v>41190 ПОМОШНАЯ</v>
      </c>
      <c r="AD439" t="str">
        <f ca="1">IFERROR(__xludf.DUMMYFUNCTION("""COMPUTED_VALUE"""),"27.12.20 08-00")</f>
        <v>27.12.20 08-00</v>
      </c>
      <c r="AE439" t="str">
        <f ca="1">IFERROR(__xludf.DUMMYFUNCTION("""COMPUTED_VALUE"""),"570 ИCТEК КAЛЕНДАРНЫЙ CPOК ДEПOВCКОГО PEМOНТA")</f>
        <v>570 ИCТEК КAЛЕНДАРНЫЙ CPOК ДEПOВCКОГО PEМOНТA</v>
      </c>
      <c r="AF439" t="str">
        <f ca="1">IFERROR(__xludf.DUMMYFUNCTION("""COMPUTED_VALUE"""),"40 ОД")</f>
        <v>40 ОД</v>
      </c>
      <c r="AG439" t="str">
        <f ca="1">IFERROR(__xludf.DUMMYFUNCTION("""COMPUTED_VALUE"""),"41190 ПОМОШНАЯ")</f>
        <v>41190 ПОМОШНАЯ</v>
      </c>
      <c r="AH439" t="str">
        <f ca="1">IFERROR(__xludf.DUMMYFUNCTION("""COMPUTED_VALUE"""),"28.01.21 15-00")</f>
        <v>28.01.21 15-00</v>
      </c>
      <c r="AI439" s="21">
        <f ca="1">IFERROR(__xludf.DUMMYFUNCTION("""COMPUTED_VALUE"""),44420.3583449074)</f>
        <v>44420.358344907399</v>
      </c>
    </row>
    <row r="440" spans="1:35" ht="13" x14ac:dyDescent="0.15">
      <c r="A440">
        <f ca="1">IFERROR(__xludf.DUMMYFUNCTION("""COMPUTED_VALUE"""),1775)</f>
        <v>1775</v>
      </c>
      <c r="B440" t="str">
        <f ca="1">IFERROR(__xludf.DUMMYFUNCTION("""COMPUTED_VALUE"""),"ВИК")</f>
        <v>ВИК</v>
      </c>
      <c r="C440" t="str">
        <f ca="1">IFERROR(__xludf.DUMMYFUNCTION("""COMPUTED_VALUE"""),"ВИК")</f>
        <v>ВИК</v>
      </c>
      <c r="D440">
        <f ca="1">IFERROR(__xludf.DUMMYFUNCTION("""COMPUTED_VALUE"""),24479222)</f>
        <v>24479222</v>
      </c>
      <c r="E440" t="str">
        <f ca="1">IFERROR(__xludf.DUMMYFUNCTION("""COMPUTED_VALUE"""),"20 КРЫТЫЕ")</f>
        <v>20 КРЫТЫЕ</v>
      </c>
      <c r="F440">
        <f ca="1">IFERROR(__xludf.DUMMYFUNCTION("""COMPUTED_VALUE"""),42103)</f>
        <v>42103</v>
      </c>
      <c r="G440" t="str">
        <f ca="1">IFERROR(__xludf.DUMMYFUNCTION("""COMPUTED_VALUE"""),"ВАГОНЫ ЖД СВ")</f>
        <v>ВАГОНЫ ЖД СВ</v>
      </c>
      <c r="H440">
        <f ca="1">IFERROR(__xludf.DUMMYFUNCTION("""COMPUTED_VALUE"""),0)</f>
        <v>0</v>
      </c>
      <c r="I440">
        <f ca="1">IFERROR(__xludf.DUMMYFUNCTION("""COMPUTED_VALUE"""),4149)</f>
        <v>4149</v>
      </c>
      <c r="J440" t="str">
        <f ca="1">IFERROR(__xludf.DUMMYFUNCTION("""COMPUTED_VALUE"""),"3488 (42830-099-44870) ГРЕБЕНКА - ПОЛТАВА-ЮЖН")</f>
        <v>3488 (42830-099-44870) ГРЕБЕНКА - ПОЛТАВА-ЮЖН</v>
      </c>
      <c r="K440">
        <f ca="1">IFERROR(__xludf.DUMMYFUNCTION("""COMPUTED_VALUE"""),44850)</f>
        <v>44850</v>
      </c>
      <c r="L440" t="str">
        <f ca="1">IFERROR(__xludf.DUMMYFUNCTION("""COMPUTED_VALUE"""),"ПОЛТАВА-КИЕВ")</f>
        <v>ПОЛТАВА-КИЕВ</v>
      </c>
      <c r="M440" t="str">
        <f ca="1">IFERROR(__xludf.DUMMYFUNCTION("""COMPUTED_VALUE"""),"12.08.21 05-43")</f>
        <v>12.08.21 05-43</v>
      </c>
      <c r="N440" t="str">
        <f ca="1">IFERROR(__xludf.DUMMYFUNCTION("""COMPUTED_VALUE"""),"01 ПРИБ")</f>
        <v>01 ПРИБ</v>
      </c>
      <c r="O440">
        <f ca="1">IFERROR(__xludf.DUMMYFUNCTION("""COMPUTED_VALUE"""),49620)</f>
        <v>49620</v>
      </c>
      <c r="P440" t="str">
        <f ca="1">IFERROR(__xludf.DUMMYFUNCTION("""COMPUTED_VALUE"""),"ДЕКОНСКАЯ")</f>
        <v>ДЕКОНСКАЯ</v>
      </c>
      <c r="Q440">
        <f ca="1">IFERROR(__xludf.DUMMYFUNCTION("""COMPUTED_VALUE"""),32040)</f>
        <v>32040</v>
      </c>
      <c r="R440" t="str">
        <f ca="1">IFERROR(__xludf.DUMMYFUNCTION("""COMPUTED_VALUE"""),"ГРУШКИ")</f>
        <v>ГРУШКИ</v>
      </c>
      <c r="S440" t="str">
        <f ca="1">IFERROR(__xludf.DUMMYFUNCTION("""COMPUTED_VALUE"""),"04.08.21 18-20")</f>
        <v>04.08.21 18-20</v>
      </c>
      <c r="T440">
        <f ca="1">IFERROR(__xludf.DUMMYFUNCTION("""COMPUTED_VALUE"""),4456)</f>
        <v>4456</v>
      </c>
      <c r="U440" t="str">
        <f ca="1">IFERROR(__xludf.DUMMYFUNCTION("""COMPUTED_VALUE"""),"28.01.2023 ДР")</f>
        <v>28.01.2023 ДР</v>
      </c>
      <c r="AA440" t="str">
        <f ca="1">IFERROR(__xludf.DUMMYFUNCTION("""COMPUTED_VALUE"""),"11-217")</f>
        <v>11-217</v>
      </c>
      <c r="AB440" t="str">
        <f ca="1">IFERROR(__xludf.DUMMYFUNCTION("""COMPUTED_VALUE"""),"40 ОД")</f>
        <v>40 ОД</v>
      </c>
      <c r="AC440" t="str">
        <f ca="1">IFERROR(__xludf.DUMMYFUNCTION("""COMPUTED_VALUE"""),"41190 ПОМОШНАЯ")</f>
        <v>41190 ПОМОШНАЯ</v>
      </c>
      <c r="AD440" t="str">
        <f ca="1">IFERROR(__xludf.DUMMYFUNCTION("""COMPUTED_VALUE"""),"23.01.21 08-00")</f>
        <v>23.01.21 08-00</v>
      </c>
      <c r="AE440" t="str">
        <f ca="1">IFERROR(__xludf.DUMMYFUNCTION("""COMPUTED_VALUE"""),"570 ИCТEК КAЛЕНДАРНЫЙ CPOК ДEПOВCКОГО PEМOНТA")</f>
        <v>570 ИCТEК КAЛЕНДАРНЫЙ CPOК ДEПOВCКОГО PEМOНТA</v>
      </c>
      <c r="AF440" t="str">
        <f ca="1">IFERROR(__xludf.DUMMYFUNCTION("""COMPUTED_VALUE"""),"40 ОД")</f>
        <v>40 ОД</v>
      </c>
      <c r="AG440" t="str">
        <f ca="1">IFERROR(__xludf.DUMMYFUNCTION("""COMPUTED_VALUE"""),"41190 ПОМОШНАЯ")</f>
        <v>41190 ПОМОШНАЯ</v>
      </c>
      <c r="AH440" t="str">
        <f ca="1">IFERROR(__xludf.DUMMYFUNCTION("""COMPUTED_VALUE"""),"28.01.21 15-00")</f>
        <v>28.01.21 15-00</v>
      </c>
      <c r="AI440" s="21">
        <f ca="1">IFERROR(__xludf.DUMMYFUNCTION("""COMPUTED_VALUE"""),44420.3583449074)</f>
        <v>44420.358344907399</v>
      </c>
    </row>
    <row r="441" spans="1:35" ht="13" x14ac:dyDescent="0.15">
      <c r="A441">
        <f ca="1">IFERROR(__xludf.DUMMYFUNCTION("""COMPUTED_VALUE"""),1792)</f>
        <v>1792</v>
      </c>
      <c r="B441" t="str">
        <f ca="1">IFERROR(__xludf.DUMMYFUNCTION("""COMPUTED_VALUE"""),"Техрейс")</f>
        <v>Техрейс</v>
      </c>
      <c r="C441" t="str">
        <f ca="1">IFERROR(__xludf.DUMMYFUNCTION("""COMPUTED_VALUE"""),"ЧП ІНВЕСТО")</f>
        <v>ЧП ІНВЕСТО</v>
      </c>
      <c r="D441">
        <f ca="1">IFERROR(__xludf.DUMMYFUNCTION("""COMPUTED_VALUE"""),52366978)</f>
        <v>52366978</v>
      </c>
      <c r="AI441" s="21"/>
    </row>
    <row r="442" spans="1:35" ht="13" x14ac:dyDescent="0.15">
      <c r="A442">
        <f ca="1">IFERROR(__xludf.DUMMYFUNCTION("""COMPUTED_VALUE"""),1793)</f>
        <v>1793</v>
      </c>
      <c r="B442" t="str">
        <f ca="1">IFERROR(__xludf.DUMMYFUNCTION("""COMPUTED_VALUE"""),"Техрейс")</f>
        <v>Техрейс</v>
      </c>
      <c r="C442" t="str">
        <f ca="1">IFERROR(__xludf.DUMMYFUNCTION("""COMPUTED_VALUE"""),"ЧП ІНВЕСТО")</f>
        <v>ЧП ІНВЕСТО</v>
      </c>
      <c r="D442">
        <f ca="1">IFERROR(__xludf.DUMMYFUNCTION("""COMPUTED_VALUE"""),56082043)</f>
        <v>56082043</v>
      </c>
      <c r="AI442" s="21"/>
    </row>
    <row r="443" spans="1:35" ht="13" x14ac:dyDescent="0.15">
      <c r="A443">
        <f ca="1">IFERROR(__xludf.DUMMYFUNCTION("""COMPUTED_VALUE"""),1794)</f>
        <v>1794</v>
      </c>
      <c r="B443" t="str">
        <f ca="1">IFERROR(__xludf.DUMMYFUNCTION("""COMPUTED_VALUE"""),"Техрейс")</f>
        <v>Техрейс</v>
      </c>
      <c r="C443" t="str">
        <f ca="1">IFERROR(__xludf.DUMMYFUNCTION("""COMPUTED_VALUE"""),"ЧП ІНВЕСТО")</f>
        <v>ЧП ІНВЕСТО</v>
      </c>
      <c r="D443">
        <f ca="1">IFERROR(__xludf.DUMMYFUNCTION("""COMPUTED_VALUE"""),56086838)</f>
        <v>56086838</v>
      </c>
      <c r="AI443" s="21"/>
    </row>
    <row r="444" spans="1:35" ht="13" x14ac:dyDescent="0.15">
      <c r="A444">
        <f ca="1">IFERROR(__xludf.DUMMYFUNCTION("""COMPUTED_VALUE"""),1795)</f>
        <v>1795</v>
      </c>
      <c r="B444" t="str">
        <f ca="1">IFERROR(__xludf.DUMMYFUNCTION("""COMPUTED_VALUE"""),"Техрейс")</f>
        <v>Техрейс</v>
      </c>
      <c r="C444" t="str">
        <f ca="1">IFERROR(__xludf.DUMMYFUNCTION("""COMPUTED_VALUE"""),"ЧП ІНВЕСТО")</f>
        <v>ЧП ІНВЕСТО</v>
      </c>
      <c r="D444">
        <f ca="1">IFERROR(__xludf.DUMMYFUNCTION("""COMPUTED_VALUE"""),52177201)</f>
        <v>52177201</v>
      </c>
      <c r="AI444" s="21"/>
    </row>
    <row r="445" spans="1:35" ht="13" x14ac:dyDescent="0.15">
      <c r="A445">
        <f ca="1">IFERROR(__xludf.DUMMYFUNCTION("""COMPUTED_VALUE"""),1796)</f>
        <v>1796</v>
      </c>
      <c r="B445" t="str">
        <f ca="1">IFERROR(__xludf.DUMMYFUNCTION("""COMPUTED_VALUE"""),"Техрейс")</f>
        <v>Техрейс</v>
      </c>
      <c r="C445" t="str">
        <f ca="1">IFERROR(__xludf.DUMMYFUNCTION("""COMPUTED_VALUE"""),"ЧП ІНВЕСТО")</f>
        <v>ЧП ІНВЕСТО</v>
      </c>
      <c r="D445">
        <f ca="1">IFERROR(__xludf.DUMMYFUNCTION("""COMPUTED_VALUE"""),52193018)</f>
        <v>52193018</v>
      </c>
      <c r="AI445" s="21"/>
    </row>
    <row r="446" spans="1:35" ht="13" x14ac:dyDescent="0.15">
      <c r="A446">
        <f ca="1">IFERROR(__xludf.DUMMYFUNCTION("""COMPUTED_VALUE"""),1797)</f>
        <v>1797</v>
      </c>
      <c r="B446" t="str">
        <f ca="1">IFERROR(__xludf.DUMMYFUNCTION("""COMPUTED_VALUE"""),"Техрейс")</f>
        <v>Техрейс</v>
      </c>
      <c r="C446" t="str">
        <f ca="1">IFERROR(__xludf.DUMMYFUNCTION("""COMPUTED_VALUE"""),"ЧП ІНВЕСТО")</f>
        <v>ЧП ІНВЕСТО</v>
      </c>
      <c r="D446">
        <f ca="1">IFERROR(__xludf.DUMMYFUNCTION("""COMPUTED_VALUE"""),56082175)</f>
        <v>56082175</v>
      </c>
      <c r="AI446" s="21"/>
    </row>
    <row r="447" spans="1:35" ht="13" x14ac:dyDescent="0.15">
      <c r="A447">
        <f ca="1">IFERROR(__xludf.DUMMYFUNCTION("""COMPUTED_VALUE"""),1798)</f>
        <v>1798</v>
      </c>
      <c r="B447" t="str">
        <f ca="1">IFERROR(__xludf.DUMMYFUNCTION("""COMPUTED_VALUE"""),"Техрейс")</f>
        <v>Техрейс</v>
      </c>
      <c r="C447" t="str">
        <f ca="1">IFERROR(__xludf.DUMMYFUNCTION("""COMPUTED_VALUE"""),"ЧП ІНВЕСТО")</f>
        <v>ЧП ІНВЕСТО</v>
      </c>
      <c r="D447">
        <f ca="1">IFERROR(__xludf.DUMMYFUNCTION("""COMPUTED_VALUE"""),52228210)</f>
        <v>52228210</v>
      </c>
      <c r="AI447" s="21"/>
    </row>
    <row r="448" spans="1:35" ht="13" x14ac:dyDescent="0.15">
      <c r="A448">
        <f ca="1">IFERROR(__xludf.DUMMYFUNCTION("""COMPUTED_VALUE"""),1799)</f>
        <v>1799</v>
      </c>
      <c r="B448" t="str">
        <f ca="1">IFERROR(__xludf.DUMMYFUNCTION("""COMPUTED_VALUE"""),"Техрейс")</f>
        <v>Техрейс</v>
      </c>
      <c r="C448" t="str">
        <f ca="1">IFERROR(__xludf.DUMMYFUNCTION("""COMPUTED_VALUE"""),"ЧП ІНВЕСТО")</f>
        <v>ЧП ІНВЕСТО</v>
      </c>
      <c r="D448">
        <f ca="1">IFERROR(__xludf.DUMMYFUNCTION("""COMPUTED_VALUE"""),56432230)</f>
        <v>56432230</v>
      </c>
      <c r="AI448" s="21"/>
    </row>
    <row r="449" spans="1:35" ht="13" x14ac:dyDescent="0.15">
      <c r="A449">
        <f ca="1">IFERROR(__xludf.DUMMYFUNCTION("""COMPUTED_VALUE"""),1800)</f>
        <v>1800</v>
      </c>
      <c r="B449" t="str">
        <f ca="1">IFERROR(__xludf.DUMMYFUNCTION("""COMPUTED_VALUE"""),"Техрейс")</f>
        <v>Техрейс</v>
      </c>
      <c r="C449" t="str">
        <f ca="1">IFERROR(__xludf.DUMMYFUNCTION("""COMPUTED_VALUE"""),"ЧП ІНВЕСТО")</f>
        <v>ЧП ІНВЕСТО</v>
      </c>
      <c r="D449">
        <f ca="1">IFERROR(__xludf.DUMMYFUNCTION("""COMPUTED_VALUE"""),56432255)</f>
        <v>56432255</v>
      </c>
      <c r="AI449" s="21"/>
    </row>
    <row r="450" spans="1:35" ht="13" x14ac:dyDescent="0.15">
      <c r="A450">
        <f ca="1">IFERROR(__xludf.DUMMYFUNCTION("""COMPUTED_VALUE"""),1801)</f>
        <v>1801</v>
      </c>
      <c r="B450" t="str">
        <f ca="1">IFERROR(__xludf.DUMMYFUNCTION("""COMPUTED_VALUE"""),"Техрейс")</f>
        <v>Техрейс</v>
      </c>
      <c r="C450" t="str">
        <f ca="1">IFERROR(__xludf.DUMMYFUNCTION("""COMPUTED_VALUE"""),"ЧП ІНВЕСТО")</f>
        <v>ЧП ІНВЕСТО</v>
      </c>
      <c r="D450">
        <f ca="1">IFERROR(__xludf.DUMMYFUNCTION("""COMPUTED_VALUE"""),56432214)</f>
        <v>56432214</v>
      </c>
      <c r="AI450" s="21"/>
    </row>
    <row r="451" spans="1:35" ht="13" x14ac:dyDescent="0.15">
      <c r="AI451" s="21"/>
    </row>
    <row r="452" spans="1:35" ht="13" x14ac:dyDescent="0.15">
      <c r="AI452" s="21"/>
    </row>
    <row r="453" spans="1:35" ht="13" x14ac:dyDescent="0.15">
      <c r="AI453" s="21"/>
    </row>
    <row r="454" spans="1:35" ht="13" x14ac:dyDescent="0.15">
      <c r="AI454" s="21"/>
    </row>
    <row r="455" spans="1:35" ht="13" x14ac:dyDescent="0.15">
      <c r="AI455" s="21"/>
    </row>
    <row r="456" spans="1:35" ht="13" x14ac:dyDescent="0.15">
      <c r="AI456" s="21"/>
    </row>
    <row r="457" spans="1:35" ht="13" x14ac:dyDescent="0.15">
      <c r="AI457" s="21"/>
    </row>
    <row r="458" spans="1:35" ht="13" x14ac:dyDescent="0.15">
      <c r="AI458" s="21"/>
    </row>
    <row r="459" spans="1:35" ht="13" x14ac:dyDescent="0.15">
      <c r="AI459" s="21"/>
    </row>
    <row r="460" spans="1:35" ht="13" x14ac:dyDescent="0.15">
      <c r="AI460" s="21"/>
    </row>
    <row r="461" spans="1:35" ht="13" x14ac:dyDescent="0.15">
      <c r="AI461" s="21"/>
    </row>
    <row r="462" spans="1:35" ht="13" x14ac:dyDescent="0.15">
      <c r="AI462" s="21"/>
    </row>
    <row r="463" spans="1:35" ht="13" x14ac:dyDescent="0.15">
      <c r="AI463" s="21"/>
    </row>
    <row r="464" spans="1:35" ht="13" x14ac:dyDescent="0.15">
      <c r="AI464" s="21"/>
    </row>
    <row r="465" spans="35:35" ht="13" x14ac:dyDescent="0.15">
      <c r="AI465" s="21"/>
    </row>
    <row r="466" spans="35:35" ht="13" x14ac:dyDescent="0.15">
      <c r="AI466" s="21"/>
    </row>
    <row r="467" spans="35:35" ht="13" x14ac:dyDescent="0.15">
      <c r="AI467" s="21"/>
    </row>
    <row r="468" spans="35:35" ht="13" x14ac:dyDescent="0.15">
      <c r="AI468" s="21"/>
    </row>
    <row r="469" spans="35:35" ht="13" x14ac:dyDescent="0.15">
      <c r="AI469" s="21"/>
    </row>
    <row r="470" spans="35:35" ht="13" x14ac:dyDescent="0.15">
      <c r="AI470" s="21"/>
    </row>
    <row r="471" spans="35:35" ht="13" x14ac:dyDescent="0.15">
      <c r="AI471" s="21"/>
    </row>
    <row r="472" spans="35:35" ht="13" x14ac:dyDescent="0.15">
      <c r="AI472" s="21"/>
    </row>
    <row r="473" spans="35:35" ht="13" x14ac:dyDescent="0.15">
      <c r="AI473" s="21"/>
    </row>
    <row r="474" spans="35:35" ht="13" x14ac:dyDescent="0.15">
      <c r="AI474" s="21"/>
    </row>
    <row r="475" spans="35:35" ht="13" x14ac:dyDescent="0.15">
      <c r="AI475" s="21"/>
    </row>
    <row r="476" spans="35:35" ht="13" x14ac:dyDescent="0.15">
      <c r="AI476" s="21"/>
    </row>
    <row r="477" spans="35:35" ht="13" x14ac:dyDescent="0.15">
      <c r="AI477" s="21"/>
    </row>
    <row r="478" spans="35:35" ht="13" x14ac:dyDescent="0.15">
      <c r="AI478" s="21"/>
    </row>
    <row r="479" spans="35:35" ht="13" x14ac:dyDescent="0.15">
      <c r="AI479" s="21"/>
    </row>
    <row r="480" spans="35:35" ht="13" x14ac:dyDescent="0.15">
      <c r="AI480" s="21"/>
    </row>
    <row r="481" spans="35:35" ht="13" x14ac:dyDescent="0.15">
      <c r="AI481" s="21"/>
    </row>
    <row r="482" spans="35:35" ht="13" x14ac:dyDescent="0.15">
      <c r="AI482" s="21"/>
    </row>
    <row r="483" spans="35:35" ht="13" x14ac:dyDescent="0.15">
      <c r="AI483" s="21"/>
    </row>
    <row r="484" spans="35:35" ht="13" x14ac:dyDescent="0.15">
      <c r="AI484" s="21"/>
    </row>
    <row r="485" spans="35:35" ht="13" x14ac:dyDescent="0.15">
      <c r="AI485" s="21"/>
    </row>
    <row r="486" spans="35:35" ht="13" x14ac:dyDescent="0.15">
      <c r="AI486" s="21"/>
    </row>
    <row r="487" spans="35:35" ht="13" x14ac:dyDescent="0.15">
      <c r="AI487" s="21"/>
    </row>
    <row r="488" spans="35:35" ht="13" x14ac:dyDescent="0.15">
      <c r="AI488" s="21"/>
    </row>
    <row r="489" spans="35:35" ht="13" x14ac:dyDescent="0.15">
      <c r="AI489" s="21"/>
    </row>
    <row r="490" spans="35:35" ht="13" x14ac:dyDescent="0.15">
      <c r="AI490" s="21"/>
    </row>
    <row r="491" spans="35:35" ht="13" x14ac:dyDescent="0.15">
      <c r="AI491" s="21"/>
    </row>
    <row r="492" spans="35:35" ht="13" x14ac:dyDescent="0.15">
      <c r="AI492" s="21"/>
    </row>
    <row r="493" spans="35:35" ht="13" x14ac:dyDescent="0.15">
      <c r="AI493" s="21"/>
    </row>
    <row r="494" spans="35:35" ht="13" x14ac:dyDescent="0.15">
      <c r="AI494" s="21"/>
    </row>
    <row r="495" spans="35:35" ht="13" x14ac:dyDescent="0.15">
      <c r="AI495" s="21"/>
    </row>
    <row r="496" spans="35:35" ht="13" x14ac:dyDescent="0.15">
      <c r="AI496" s="21"/>
    </row>
    <row r="497" spans="35:35" ht="13" x14ac:dyDescent="0.15">
      <c r="AI497" s="21"/>
    </row>
    <row r="498" spans="35:35" ht="13" x14ac:dyDescent="0.15">
      <c r="AI498" s="21"/>
    </row>
    <row r="499" spans="35:35" ht="13" x14ac:dyDescent="0.15">
      <c r="AI499" s="21"/>
    </row>
    <row r="500" spans="35:35" ht="13" x14ac:dyDescent="0.15">
      <c r="AI500" s="21"/>
    </row>
    <row r="501" spans="35:35" ht="13" x14ac:dyDescent="0.15">
      <c r="AI501" s="21"/>
    </row>
    <row r="502" spans="35:35" ht="13" x14ac:dyDescent="0.15">
      <c r="AI502" s="21"/>
    </row>
    <row r="503" spans="35:35" ht="13" x14ac:dyDescent="0.15">
      <c r="AI503" s="21"/>
    </row>
    <row r="504" spans="35:35" ht="13" x14ac:dyDescent="0.15">
      <c r="AI504" s="21"/>
    </row>
    <row r="505" spans="35:35" ht="13" x14ac:dyDescent="0.15">
      <c r="AI505" s="21"/>
    </row>
    <row r="506" spans="35:35" ht="13" x14ac:dyDescent="0.15">
      <c r="AI506" s="21"/>
    </row>
    <row r="507" spans="35:35" ht="13" x14ac:dyDescent="0.15">
      <c r="AI507" s="21"/>
    </row>
    <row r="508" spans="35:35" ht="13" x14ac:dyDescent="0.15">
      <c r="AI508" s="21"/>
    </row>
    <row r="509" spans="35:35" ht="13" x14ac:dyDescent="0.15">
      <c r="AI509" s="21"/>
    </row>
    <row r="510" spans="35:35" ht="13" x14ac:dyDescent="0.15">
      <c r="AI510" s="21"/>
    </row>
    <row r="511" spans="35:35" ht="13" x14ac:dyDescent="0.15">
      <c r="AI511" s="21"/>
    </row>
    <row r="512" spans="35:35" ht="13" x14ac:dyDescent="0.15">
      <c r="AI512" s="21"/>
    </row>
    <row r="513" spans="35:35" ht="13" x14ac:dyDescent="0.15">
      <c r="AI513" s="21"/>
    </row>
    <row r="514" spans="35:35" ht="13" x14ac:dyDescent="0.15">
      <c r="AI514" s="21"/>
    </row>
    <row r="515" spans="35:35" ht="13" x14ac:dyDescent="0.15">
      <c r="AI515" s="21"/>
    </row>
    <row r="516" spans="35:35" ht="13" x14ac:dyDescent="0.15">
      <c r="AI516" s="21"/>
    </row>
    <row r="517" spans="35:35" ht="13" x14ac:dyDescent="0.15">
      <c r="AI517" s="21"/>
    </row>
    <row r="518" spans="35:35" ht="13" x14ac:dyDescent="0.15">
      <c r="AI518" s="21"/>
    </row>
    <row r="519" spans="35:35" ht="13" x14ac:dyDescent="0.15">
      <c r="AI519" s="21"/>
    </row>
    <row r="520" spans="35:35" ht="13" x14ac:dyDescent="0.15">
      <c r="AI520" s="21"/>
    </row>
    <row r="521" spans="35:35" ht="13" x14ac:dyDescent="0.15">
      <c r="AI521" s="21"/>
    </row>
    <row r="522" spans="35:35" ht="13" x14ac:dyDescent="0.15">
      <c r="AI522" s="21"/>
    </row>
    <row r="523" spans="35:35" ht="13" x14ac:dyDescent="0.15">
      <c r="AI523" s="21"/>
    </row>
    <row r="524" spans="35:35" ht="13" x14ac:dyDescent="0.15">
      <c r="AI524" s="21"/>
    </row>
    <row r="525" spans="35:35" ht="13" x14ac:dyDescent="0.15">
      <c r="AI525" s="21"/>
    </row>
    <row r="526" spans="35:35" ht="13" x14ac:dyDescent="0.15">
      <c r="AI526" s="21"/>
    </row>
    <row r="527" spans="35:35" ht="13" x14ac:dyDescent="0.15">
      <c r="AI527" s="21"/>
    </row>
    <row r="528" spans="35:35" ht="13" x14ac:dyDescent="0.15">
      <c r="AI528" s="21"/>
    </row>
    <row r="529" spans="35:35" ht="13" x14ac:dyDescent="0.15">
      <c r="AI529" s="21"/>
    </row>
    <row r="530" spans="35:35" ht="13" x14ac:dyDescent="0.15">
      <c r="AI530" s="21"/>
    </row>
    <row r="531" spans="35:35" ht="13" x14ac:dyDescent="0.15">
      <c r="AI531" s="21"/>
    </row>
    <row r="532" spans="35:35" ht="13" x14ac:dyDescent="0.15">
      <c r="AI532" s="21"/>
    </row>
    <row r="533" spans="35:35" ht="13" x14ac:dyDescent="0.15">
      <c r="AI533" s="21"/>
    </row>
    <row r="534" spans="35:35" ht="13" x14ac:dyDescent="0.15">
      <c r="AI534" s="21"/>
    </row>
    <row r="535" spans="35:35" ht="13" x14ac:dyDescent="0.15">
      <c r="AI535" s="21"/>
    </row>
    <row r="536" spans="35:35" ht="13" x14ac:dyDescent="0.15">
      <c r="AI536" s="21"/>
    </row>
    <row r="537" spans="35:35" ht="13" x14ac:dyDescent="0.15">
      <c r="AI537" s="21"/>
    </row>
    <row r="538" spans="35:35" ht="13" x14ac:dyDescent="0.15">
      <c r="AI538" s="21"/>
    </row>
    <row r="539" spans="35:35" ht="13" x14ac:dyDescent="0.15">
      <c r="AI539" s="21"/>
    </row>
    <row r="540" spans="35:35" ht="13" x14ac:dyDescent="0.15">
      <c r="AI540" s="21"/>
    </row>
    <row r="541" spans="35:35" ht="13" x14ac:dyDescent="0.15">
      <c r="AI541" s="21"/>
    </row>
    <row r="542" spans="35:35" ht="13" x14ac:dyDescent="0.15">
      <c r="AI542" s="21"/>
    </row>
    <row r="543" spans="35:35" ht="13" x14ac:dyDescent="0.15">
      <c r="AI543" s="21"/>
    </row>
    <row r="544" spans="35:35" ht="13" x14ac:dyDescent="0.15">
      <c r="AI544" s="21"/>
    </row>
    <row r="545" spans="35:35" ht="13" x14ac:dyDescent="0.15">
      <c r="AI545" s="21"/>
    </row>
    <row r="546" spans="35:35" ht="13" x14ac:dyDescent="0.15">
      <c r="AI546" s="21"/>
    </row>
    <row r="547" spans="35:35" ht="13" x14ac:dyDescent="0.15">
      <c r="AI547" s="21"/>
    </row>
    <row r="548" spans="35:35" ht="13" x14ac:dyDescent="0.15">
      <c r="AI548" s="21"/>
    </row>
    <row r="549" spans="35:35" ht="13" x14ac:dyDescent="0.15">
      <c r="AI549" s="21"/>
    </row>
    <row r="550" spans="35:35" ht="13" x14ac:dyDescent="0.15">
      <c r="AI550" s="21"/>
    </row>
    <row r="551" spans="35:35" ht="13" x14ac:dyDescent="0.15">
      <c r="AI551" s="21"/>
    </row>
    <row r="552" spans="35:35" ht="13" x14ac:dyDescent="0.15">
      <c r="AI552" s="21"/>
    </row>
    <row r="553" spans="35:35" ht="13" x14ac:dyDescent="0.15">
      <c r="AI553" s="21"/>
    </row>
    <row r="554" spans="35:35" ht="13" x14ac:dyDescent="0.15">
      <c r="AI554" s="21"/>
    </row>
    <row r="555" spans="35:35" ht="13" x14ac:dyDescent="0.15">
      <c r="AI555" s="21"/>
    </row>
    <row r="556" spans="35:35" ht="13" x14ac:dyDescent="0.15">
      <c r="AI556" s="21"/>
    </row>
    <row r="557" spans="35:35" ht="13" x14ac:dyDescent="0.15">
      <c r="AI557" s="21"/>
    </row>
    <row r="558" spans="35:35" ht="13" x14ac:dyDescent="0.15">
      <c r="AI558" s="21"/>
    </row>
    <row r="559" spans="35:35" ht="13" x14ac:dyDescent="0.15">
      <c r="AI559" s="21"/>
    </row>
    <row r="560" spans="35:35" ht="13" x14ac:dyDescent="0.15">
      <c r="AI560" s="21"/>
    </row>
    <row r="561" spans="35:35" ht="13" x14ac:dyDescent="0.15">
      <c r="AI561" s="21"/>
    </row>
    <row r="562" spans="35:35" ht="13" x14ac:dyDescent="0.15">
      <c r="AI562" s="21"/>
    </row>
    <row r="563" spans="35:35" ht="13" x14ac:dyDescent="0.15">
      <c r="AI563" s="21"/>
    </row>
    <row r="564" spans="35:35" ht="13" x14ac:dyDescent="0.15">
      <c r="AI564" s="21"/>
    </row>
    <row r="565" spans="35:35" ht="13" x14ac:dyDescent="0.15">
      <c r="AI565" s="21"/>
    </row>
    <row r="566" spans="35:35" ht="13" x14ac:dyDescent="0.15">
      <c r="AI566" s="21"/>
    </row>
    <row r="567" spans="35:35" ht="13" x14ac:dyDescent="0.15">
      <c r="AI567" s="21"/>
    </row>
    <row r="568" spans="35:35" ht="13" x14ac:dyDescent="0.15">
      <c r="AI568" s="21"/>
    </row>
    <row r="569" spans="35:35" ht="13" x14ac:dyDescent="0.15">
      <c r="AI569" s="21"/>
    </row>
    <row r="570" spans="35:35" ht="13" x14ac:dyDescent="0.15">
      <c r="AI570" s="21"/>
    </row>
    <row r="571" spans="35:35" ht="13" x14ac:dyDescent="0.15">
      <c r="AI571" s="21"/>
    </row>
    <row r="572" spans="35:35" ht="13" x14ac:dyDescent="0.15">
      <c r="AI572" s="21"/>
    </row>
    <row r="573" spans="35:35" ht="13" x14ac:dyDescent="0.15">
      <c r="AI573" s="21"/>
    </row>
    <row r="574" spans="35:35" ht="13" x14ac:dyDescent="0.15">
      <c r="AI574" s="21"/>
    </row>
    <row r="575" spans="35:35" ht="13" x14ac:dyDescent="0.15">
      <c r="AI575" s="21"/>
    </row>
    <row r="576" spans="35:35" ht="13" x14ac:dyDescent="0.15">
      <c r="AI576" s="21"/>
    </row>
    <row r="577" spans="35:35" ht="13" x14ac:dyDescent="0.15">
      <c r="AI577" s="21"/>
    </row>
    <row r="578" spans="35:35" ht="13" x14ac:dyDescent="0.15">
      <c r="AI578" s="21"/>
    </row>
    <row r="579" spans="35:35" ht="13" x14ac:dyDescent="0.15">
      <c r="AI579" s="21"/>
    </row>
    <row r="580" spans="35:35" ht="13" x14ac:dyDescent="0.15">
      <c r="AI580" s="21"/>
    </row>
    <row r="581" spans="35:35" ht="13" x14ac:dyDescent="0.15">
      <c r="AI581" s="21"/>
    </row>
    <row r="582" spans="35:35" ht="13" x14ac:dyDescent="0.15">
      <c r="AI582" s="21"/>
    </row>
    <row r="583" spans="35:35" ht="13" x14ac:dyDescent="0.15">
      <c r="AI583" s="21"/>
    </row>
    <row r="584" spans="35:35" ht="13" x14ac:dyDescent="0.15">
      <c r="AI584" s="21"/>
    </row>
    <row r="585" spans="35:35" ht="13" x14ac:dyDescent="0.15">
      <c r="AI585" s="21"/>
    </row>
    <row r="586" spans="35:35" ht="13" x14ac:dyDescent="0.15">
      <c r="AI586" s="21"/>
    </row>
    <row r="587" spans="35:35" ht="13" x14ac:dyDescent="0.15">
      <c r="AI587" s="21"/>
    </row>
    <row r="588" spans="35:35" ht="13" x14ac:dyDescent="0.15">
      <c r="AI588" s="21"/>
    </row>
    <row r="589" spans="35:35" ht="13" x14ac:dyDescent="0.15">
      <c r="AI589" s="21"/>
    </row>
    <row r="590" spans="35:35" ht="13" x14ac:dyDescent="0.15">
      <c r="AI590" s="21"/>
    </row>
    <row r="591" spans="35:35" ht="13" x14ac:dyDescent="0.15">
      <c r="AI591" s="21"/>
    </row>
    <row r="592" spans="35:35" ht="13" x14ac:dyDescent="0.15">
      <c r="AI592" s="21"/>
    </row>
    <row r="593" spans="35:35" ht="13" x14ac:dyDescent="0.15">
      <c r="AI593" s="21"/>
    </row>
    <row r="594" spans="35:35" ht="13" x14ac:dyDescent="0.15">
      <c r="AI594" s="21"/>
    </row>
    <row r="595" spans="35:35" ht="13" x14ac:dyDescent="0.15">
      <c r="AI595" s="21"/>
    </row>
    <row r="596" spans="35:35" ht="13" x14ac:dyDescent="0.15">
      <c r="AI596" s="21"/>
    </row>
    <row r="597" spans="35:35" ht="13" x14ac:dyDescent="0.15">
      <c r="AI597" s="21"/>
    </row>
    <row r="598" spans="35:35" ht="13" x14ac:dyDescent="0.15">
      <c r="AI598" s="21"/>
    </row>
    <row r="599" spans="35:35" ht="13" x14ac:dyDescent="0.15">
      <c r="AI599" s="21"/>
    </row>
    <row r="600" spans="35:35" ht="13" x14ac:dyDescent="0.15">
      <c r="AI600" s="21"/>
    </row>
    <row r="601" spans="35:35" ht="13" x14ac:dyDescent="0.15">
      <c r="AI601" s="21"/>
    </row>
    <row r="602" spans="35:35" ht="13" x14ac:dyDescent="0.15">
      <c r="AI602" s="21"/>
    </row>
    <row r="603" spans="35:35" ht="13" x14ac:dyDescent="0.15">
      <c r="AI603" s="21"/>
    </row>
    <row r="604" spans="35:35" ht="13" x14ac:dyDescent="0.15">
      <c r="AI604" s="21"/>
    </row>
    <row r="605" spans="35:35" ht="13" x14ac:dyDescent="0.15">
      <c r="AI605" s="21"/>
    </row>
    <row r="606" spans="35:35" ht="13" x14ac:dyDescent="0.15">
      <c r="AI606" s="21"/>
    </row>
    <row r="607" spans="35:35" ht="13" x14ac:dyDescent="0.15">
      <c r="AI607" s="21"/>
    </row>
    <row r="608" spans="35:35" ht="13" x14ac:dyDescent="0.15">
      <c r="AI608" s="21"/>
    </row>
    <row r="609" spans="35:35" ht="13" x14ac:dyDescent="0.15">
      <c r="AI609" s="21"/>
    </row>
    <row r="610" spans="35:35" ht="13" x14ac:dyDescent="0.15">
      <c r="AI610" s="21"/>
    </row>
    <row r="611" spans="35:35" ht="13" x14ac:dyDescent="0.15">
      <c r="AI611" s="21"/>
    </row>
    <row r="612" spans="35:35" ht="13" x14ac:dyDescent="0.15">
      <c r="AI612" s="21"/>
    </row>
    <row r="613" spans="35:35" ht="13" x14ac:dyDescent="0.15">
      <c r="AI613" s="21"/>
    </row>
    <row r="614" spans="35:35" ht="13" x14ac:dyDescent="0.15">
      <c r="AI614" s="21"/>
    </row>
    <row r="615" spans="35:35" ht="13" x14ac:dyDescent="0.15">
      <c r="AI615" s="21"/>
    </row>
    <row r="616" spans="35:35" ht="13" x14ac:dyDescent="0.15">
      <c r="AI616" s="21"/>
    </row>
    <row r="617" spans="35:35" ht="13" x14ac:dyDescent="0.15">
      <c r="AI617" s="21"/>
    </row>
    <row r="618" spans="35:35" ht="13" x14ac:dyDescent="0.15">
      <c r="AI618" s="21"/>
    </row>
    <row r="619" spans="35:35" ht="13" x14ac:dyDescent="0.15">
      <c r="AI619" s="21"/>
    </row>
    <row r="620" spans="35:35" ht="13" x14ac:dyDescent="0.15">
      <c r="AI620" s="21"/>
    </row>
    <row r="621" spans="35:35" ht="13" x14ac:dyDescent="0.15">
      <c r="AI621" s="21"/>
    </row>
    <row r="622" spans="35:35" ht="13" x14ac:dyDescent="0.15">
      <c r="AI622" s="21"/>
    </row>
    <row r="623" spans="35:35" ht="13" x14ac:dyDescent="0.15">
      <c r="AI623" s="21"/>
    </row>
    <row r="624" spans="35:35" ht="13" x14ac:dyDescent="0.15">
      <c r="AI624" s="21"/>
    </row>
    <row r="625" spans="35:35" ht="13" x14ac:dyDescent="0.15">
      <c r="AI625" s="21"/>
    </row>
    <row r="626" spans="35:35" ht="13" x14ac:dyDescent="0.15">
      <c r="AI626" s="21"/>
    </row>
    <row r="627" spans="35:35" ht="13" x14ac:dyDescent="0.15">
      <c r="AI627" s="21"/>
    </row>
    <row r="628" spans="35:35" ht="13" x14ac:dyDescent="0.15">
      <c r="AI628" s="21"/>
    </row>
    <row r="629" spans="35:35" ht="13" x14ac:dyDescent="0.15">
      <c r="AI629" s="21"/>
    </row>
    <row r="630" spans="35:35" ht="13" x14ac:dyDescent="0.15">
      <c r="AI630" s="21"/>
    </row>
    <row r="631" spans="35:35" ht="13" x14ac:dyDescent="0.15">
      <c r="AI631" s="21"/>
    </row>
    <row r="632" spans="35:35" ht="13" x14ac:dyDescent="0.15">
      <c r="AI632" s="21"/>
    </row>
    <row r="633" spans="35:35" ht="13" x14ac:dyDescent="0.15">
      <c r="AI633" s="21"/>
    </row>
    <row r="634" spans="35:35" ht="13" x14ac:dyDescent="0.15">
      <c r="AI634" s="21"/>
    </row>
    <row r="635" spans="35:35" ht="13" x14ac:dyDescent="0.15">
      <c r="AI635" s="21"/>
    </row>
    <row r="636" spans="35:35" ht="13" x14ac:dyDescent="0.15">
      <c r="AI636" s="21"/>
    </row>
    <row r="637" spans="35:35" ht="13" x14ac:dyDescent="0.15">
      <c r="AI637" s="21"/>
    </row>
    <row r="638" spans="35:35" ht="13" x14ac:dyDescent="0.15">
      <c r="AI638" s="21"/>
    </row>
    <row r="639" spans="35:35" ht="13" x14ac:dyDescent="0.15">
      <c r="AI639" s="21"/>
    </row>
    <row r="640" spans="35:35" ht="13" x14ac:dyDescent="0.15">
      <c r="AI640" s="21"/>
    </row>
    <row r="641" spans="35:35" ht="13" x14ac:dyDescent="0.15">
      <c r="AI641" s="21"/>
    </row>
    <row r="642" spans="35:35" ht="13" x14ac:dyDescent="0.15">
      <c r="AI642" s="21"/>
    </row>
    <row r="643" spans="35:35" ht="13" x14ac:dyDescent="0.15">
      <c r="AI643" s="21"/>
    </row>
    <row r="644" spans="35:35" ht="13" x14ac:dyDescent="0.15">
      <c r="AI644" s="21"/>
    </row>
    <row r="645" spans="35:35" ht="13" x14ac:dyDescent="0.15">
      <c r="AI645" s="21"/>
    </row>
    <row r="646" spans="35:35" ht="13" x14ac:dyDescent="0.15">
      <c r="AI646" s="21"/>
    </row>
    <row r="647" spans="35:35" ht="13" x14ac:dyDescent="0.15">
      <c r="AI647" s="21"/>
    </row>
    <row r="648" spans="35:35" ht="13" x14ac:dyDescent="0.15">
      <c r="AI648" s="21"/>
    </row>
    <row r="649" spans="35:35" ht="13" x14ac:dyDescent="0.15">
      <c r="AI649" s="21"/>
    </row>
    <row r="650" spans="35:35" ht="13" x14ac:dyDescent="0.15">
      <c r="AI650" s="21"/>
    </row>
    <row r="651" spans="35:35" ht="13" x14ac:dyDescent="0.15">
      <c r="AI651" s="21"/>
    </row>
    <row r="652" spans="35:35" ht="13" x14ac:dyDescent="0.15">
      <c r="AI652" s="21"/>
    </row>
    <row r="653" spans="35:35" ht="13" x14ac:dyDescent="0.15">
      <c r="AI653" s="21"/>
    </row>
    <row r="654" spans="35:35" ht="13" x14ac:dyDescent="0.15">
      <c r="AI654" s="21"/>
    </row>
    <row r="655" spans="35:35" ht="13" x14ac:dyDescent="0.15">
      <c r="AI655" s="21"/>
    </row>
    <row r="656" spans="35:35" ht="13" x14ac:dyDescent="0.15">
      <c r="AI656" s="21"/>
    </row>
    <row r="657" spans="35:35" ht="13" x14ac:dyDescent="0.15">
      <c r="AI657" s="21"/>
    </row>
    <row r="658" spans="35:35" ht="13" x14ac:dyDescent="0.15">
      <c r="AI658" s="21"/>
    </row>
    <row r="659" spans="35:35" ht="13" x14ac:dyDescent="0.15">
      <c r="AI659" s="21"/>
    </row>
    <row r="660" spans="35:35" ht="13" x14ac:dyDescent="0.15">
      <c r="AI660" s="21"/>
    </row>
    <row r="661" spans="35:35" ht="13" x14ac:dyDescent="0.15">
      <c r="AI661" s="21"/>
    </row>
    <row r="662" spans="35:35" ht="13" x14ac:dyDescent="0.15">
      <c r="AI662" s="21"/>
    </row>
    <row r="663" spans="35:35" ht="13" x14ac:dyDescent="0.15">
      <c r="AI663" s="21"/>
    </row>
    <row r="664" spans="35:35" ht="13" x14ac:dyDescent="0.15">
      <c r="AI664" s="21"/>
    </row>
    <row r="665" spans="35:35" ht="13" x14ac:dyDescent="0.15">
      <c r="AI665" s="21"/>
    </row>
    <row r="666" spans="35:35" ht="13" x14ac:dyDescent="0.15">
      <c r="AI666" s="21"/>
    </row>
    <row r="667" spans="35:35" ht="13" x14ac:dyDescent="0.15">
      <c r="AI667" s="21"/>
    </row>
    <row r="668" spans="35:35" ht="13" x14ac:dyDescent="0.15">
      <c r="AI668" s="21"/>
    </row>
    <row r="669" spans="35:35" ht="13" x14ac:dyDescent="0.15">
      <c r="AI669" s="21"/>
    </row>
    <row r="670" spans="35:35" ht="13" x14ac:dyDescent="0.15">
      <c r="AI670" s="21"/>
    </row>
    <row r="671" spans="35:35" ht="13" x14ac:dyDescent="0.15">
      <c r="AI671" s="21"/>
    </row>
    <row r="672" spans="35:35" ht="13" x14ac:dyDescent="0.15">
      <c r="AI672" s="21"/>
    </row>
    <row r="673" spans="35:35" ht="13" x14ac:dyDescent="0.15">
      <c r="AI673" s="21"/>
    </row>
    <row r="674" spans="35:35" ht="13" x14ac:dyDescent="0.15">
      <c r="AI674" s="21"/>
    </row>
    <row r="675" spans="35:35" ht="13" x14ac:dyDescent="0.15">
      <c r="AI675" s="21"/>
    </row>
    <row r="676" spans="35:35" ht="13" x14ac:dyDescent="0.15">
      <c r="AI676" s="21"/>
    </row>
    <row r="677" spans="35:35" ht="13" x14ac:dyDescent="0.15">
      <c r="AI677" s="21"/>
    </row>
    <row r="678" spans="35:35" ht="13" x14ac:dyDescent="0.15">
      <c r="AI678" s="21"/>
    </row>
    <row r="679" spans="35:35" ht="13" x14ac:dyDescent="0.15">
      <c r="AI679" s="21"/>
    </row>
    <row r="680" spans="35:35" ht="13" x14ac:dyDescent="0.15">
      <c r="AI680" s="21"/>
    </row>
    <row r="681" spans="35:35" ht="13" x14ac:dyDescent="0.15">
      <c r="AI681" s="21"/>
    </row>
    <row r="682" spans="35:35" ht="13" x14ac:dyDescent="0.15">
      <c r="AI682" s="21"/>
    </row>
    <row r="683" spans="35:35" ht="13" x14ac:dyDescent="0.15">
      <c r="AI683" s="21"/>
    </row>
    <row r="684" spans="35:35" ht="13" x14ac:dyDescent="0.15">
      <c r="AI684" s="21"/>
    </row>
    <row r="685" spans="35:35" ht="13" x14ac:dyDescent="0.15">
      <c r="AI685" s="21"/>
    </row>
    <row r="686" spans="35:35" ht="13" x14ac:dyDescent="0.15">
      <c r="AI686" s="21"/>
    </row>
    <row r="687" spans="35:35" ht="13" x14ac:dyDescent="0.15">
      <c r="AI687" s="21"/>
    </row>
    <row r="688" spans="35:35" ht="13" x14ac:dyDescent="0.15">
      <c r="AI688" s="21"/>
    </row>
    <row r="689" spans="35:35" ht="13" x14ac:dyDescent="0.15">
      <c r="AI689" s="21"/>
    </row>
    <row r="690" spans="35:35" ht="13" x14ac:dyDescent="0.15">
      <c r="AI690" s="21"/>
    </row>
    <row r="691" spans="35:35" ht="13" x14ac:dyDescent="0.15">
      <c r="AI691" s="21"/>
    </row>
    <row r="692" spans="35:35" ht="13" x14ac:dyDescent="0.15">
      <c r="AI692" s="21"/>
    </row>
    <row r="693" spans="35:35" ht="13" x14ac:dyDescent="0.15">
      <c r="AI693" s="21"/>
    </row>
    <row r="694" spans="35:35" ht="13" x14ac:dyDescent="0.15">
      <c r="AI694" s="21"/>
    </row>
    <row r="695" spans="35:35" ht="13" x14ac:dyDescent="0.15">
      <c r="AI695" s="21"/>
    </row>
    <row r="696" spans="35:35" ht="13" x14ac:dyDescent="0.15">
      <c r="AI696" s="21"/>
    </row>
    <row r="697" spans="35:35" ht="13" x14ac:dyDescent="0.15">
      <c r="AI697" s="21"/>
    </row>
    <row r="698" spans="35:35" ht="13" x14ac:dyDescent="0.15">
      <c r="AI698" s="21"/>
    </row>
    <row r="699" spans="35:35" ht="13" x14ac:dyDescent="0.15">
      <c r="AI699" s="21"/>
    </row>
    <row r="700" spans="35:35" ht="13" x14ac:dyDescent="0.15">
      <c r="AI700" s="21"/>
    </row>
    <row r="701" spans="35:35" ht="13" x14ac:dyDescent="0.15">
      <c r="AI701" s="21"/>
    </row>
    <row r="702" spans="35:35" ht="13" x14ac:dyDescent="0.15">
      <c r="AI702" s="21"/>
    </row>
    <row r="703" spans="35:35" ht="13" x14ac:dyDescent="0.15">
      <c r="AI703" s="21"/>
    </row>
    <row r="704" spans="35:35" ht="13" x14ac:dyDescent="0.15">
      <c r="AI704" s="21"/>
    </row>
    <row r="705" spans="35:35" ht="13" x14ac:dyDescent="0.15">
      <c r="AI705" s="21"/>
    </row>
    <row r="706" spans="35:35" ht="13" x14ac:dyDescent="0.15">
      <c r="AI706" s="21"/>
    </row>
    <row r="707" spans="35:35" ht="13" x14ac:dyDescent="0.15">
      <c r="AI707" s="21"/>
    </row>
    <row r="708" spans="35:35" ht="13" x14ac:dyDescent="0.15">
      <c r="AI708" s="21"/>
    </row>
    <row r="709" spans="35:35" ht="13" x14ac:dyDescent="0.15">
      <c r="AI709" s="21"/>
    </row>
    <row r="710" spans="35:35" ht="13" x14ac:dyDescent="0.15">
      <c r="AI710" s="21"/>
    </row>
    <row r="711" spans="35:35" ht="13" x14ac:dyDescent="0.15">
      <c r="AI711" s="21"/>
    </row>
    <row r="712" spans="35:35" ht="13" x14ac:dyDescent="0.15">
      <c r="AI712" s="21"/>
    </row>
    <row r="713" spans="35:35" ht="13" x14ac:dyDescent="0.15">
      <c r="AI713" s="21"/>
    </row>
    <row r="714" spans="35:35" ht="13" x14ac:dyDescent="0.15">
      <c r="AI714" s="21"/>
    </row>
    <row r="715" spans="35:35" ht="13" x14ac:dyDescent="0.15">
      <c r="AI715" s="21"/>
    </row>
    <row r="716" spans="35:35" ht="13" x14ac:dyDescent="0.15">
      <c r="AI716" s="21"/>
    </row>
    <row r="717" spans="35:35" ht="13" x14ac:dyDescent="0.15">
      <c r="AI717" s="21"/>
    </row>
    <row r="718" spans="35:35" ht="13" x14ac:dyDescent="0.15">
      <c r="AI718" s="21"/>
    </row>
    <row r="719" spans="35:35" ht="13" x14ac:dyDescent="0.15">
      <c r="AI719" s="21"/>
    </row>
    <row r="720" spans="35:35" ht="13" x14ac:dyDescent="0.15">
      <c r="AI720" s="21"/>
    </row>
    <row r="721" spans="35:35" ht="13" x14ac:dyDescent="0.15">
      <c r="AI721" s="21"/>
    </row>
    <row r="722" spans="35:35" ht="13" x14ac:dyDescent="0.15">
      <c r="AI722" s="21"/>
    </row>
    <row r="723" spans="35:35" ht="13" x14ac:dyDescent="0.15">
      <c r="AI723" s="21"/>
    </row>
    <row r="724" spans="35:35" ht="13" x14ac:dyDescent="0.15">
      <c r="AI724" s="21"/>
    </row>
    <row r="725" spans="35:35" ht="13" x14ac:dyDescent="0.15">
      <c r="AI725" s="21"/>
    </row>
    <row r="726" spans="35:35" ht="13" x14ac:dyDescent="0.15">
      <c r="AI726" s="21"/>
    </row>
    <row r="727" spans="35:35" ht="13" x14ac:dyDescent="0.15">
      <c r="AI727" s="21"/>
    </row>
    <row r="728" spans="35:35" ht="13" x14ac:dyDescent="0.15">
      <c r="AI728" s="21"/>
    </row>
    <row r="729" spans="35:35" ht="13" x14ac:dyDescent="0.15">
      <c r="AI729" s="21"/>
    </row>
    <row r="730" spans="35:35" ht="13" x14ac:dyDescent="0.15">
      <c r="AI730" s="21"/>
    </row>
    <row r="731" spans="35:35" ht="13" x14ac:dyDescent="0.15">
      <c r="AI731" s="21"/>
    </row>
    <row r="732" spans="35:35" ht="13" x14ac:dyDescent="0.15">
      <c r="AI732" s="21"/>
    </row>
    <row r="733" spans="35:35" ht="13" x14ac:dyDescent="0.15">
      <c r="AI733" s="21"/>
    </row>
    <row r="734" spans="35:35" ht="13" x14ac:dyDescent="0.15">
      <c r="AI734" s="21"/>
    </row>
    <row r="735" spans="35:35" ht="13" x14ac:dyDescent="0.15">
      <c r="AI735" s="21"/>
    </row>
    <row r="736" spans="35:35" ht="13" x14ac:dyDescent="0.15">
      <c r="AI736" s="21"/>
    </row>
    <row r="737" spans="35:35" ht="13" x14ac:dyDescent="0.15">
      <c r="AI737" s="21"/>
    </row>
    <row r="738" spans="35:35" ht="13" x14ac:dyDescent="0.15">
      <c r="AI738" s="21"/>
    </row>
    <row r="739" spans="35:35" ht="13" x14ac:dyDescent="0.15">
      <c r="AI739" s="21"/>
    </row>
    <row r="740" spans="35:35" ht="13" x14ac:dyDescent="0.15">
      <c r="AI740" s="21"/>
    </row>
    <row r="741" spans="35:35" ht="13" x14ac:dyDescent="0.15">
      <c r="AI741" s="21"/>
    </row>
    <row r="742" spans="35:35" ht="13" x14ac:dyDescent="0.15">
      <c r="AI742" s="21"/>
    </row>
    <row r="743" spans="35:35" ht="13" x14ac:dyDescent="0.15">
      <c r="AI743" s="21"/>
    </row>
    <row r="744" spans="35:35" ht="13" x14ac:dyDescent="0.15">
      <c r="AI744" s="21"/>
    </row>
    <row r="745" spans="35:35" ht="13" x14ac:dyDescent="0.15">
      <c r="AI745" s="21"/>
    </row>
    <row r="746" spans="35:35" ht="13" x14ac:dyDescent="0.15">
      <c r="AI746" s="21"/>
    </row>
    <row r="747" spans="35:35" ht="13" x14ac:dyDescent="0.15">
      <c r="AI747" s="21"/>
    </row>
    <row r="748" spans="35:35" ht="13" x14ac:dyDescent="0.15">
      <c r="AI748" s="21"/>
    </row>
    <row r="749" spans="35:35" ht="13" x14ac:dyDescent="0.15">
      <c r="AI749" s="21"/>
    </row>
    <row r="750" spans="35:35" ht="13" x14ac:dyDescent="0.15">
      <c r="AI750" s="21"/>
    </row>
    <row r="751" spans="35:35" ht="13" x14ac:dyDescent="0.15">
      <c r="AI751" s="21"/>
    </row>
    <row r="752" spans="35:35" ht="13" x14ac:dyDescent="0.15">
      <c r="AI752" s="21"/>
    </row>
    <row r="753" spans="35:35" ht="13" x14ac:dyDescent="0.15">
      <c r="AI753" s="21"/>
    </row>
    <row r="754" spans="35:35" ht="13" x14ac:dyDescent="0.15">
      <c r="AI754" s="21"/>
    </row>
    <row r="755" spans="35:35" ht="13" x14ac:dyDescent="0.15">
      <c r="AI755" s="21"/>
    </row>
    <row r="756" spans="35:35" ht="13" x14ac:dyDescent="0.15">
      <c r="AI756" s="21"/>
    </row>
    <row r="757" spans="35:35" ht="13" x14ac:dyDescent="0.15">
      <c r="AI757" s="21"/>
    </row>
    <row r="758" spans="35:35" ht="13" x14ac:dyDescent="0.15">
      <c r="AI758" s="21"/>
    </row>
    <row r="759" spans="35:35" ht="13" x14ac:dyDescent="0.15">
      <c r="AI759" s="21"/>
    </row>
    <row r="760" spans="35:35" ht="13" x14ac:dyDescent="0.15">
      <c r="AI760" s="21"/>
    </row>
    <row r="761" spans="35:35" ht="13" x14ac:dyDescent="0.15">
      <c r="AI761" s="21"/>
    </row>
    <row r="762" spans="35:35" ht="13" x14ac:dyDescent="0.15">
      <c r="AI762" s="21"/>
    </row>
    <row r="763" spans="35:35" ht="13" x14ac:dyDescent="0.15">
      <c r="AI763" s="21"/>
    </row>
    <row r="764" spans="35:35" ht="13" x14ac:dyDescent="0.15">
      <c r="AI764" s="21"/>
    </row>
    <row r="765" spans="35:35" ht="13" x14ac:dyDescent="0.15">
      <c r="AI765" s="21"/>
    </row>
    <row r="766" spans="35:35" ht="13" x14ac:dyDescent="0.15">
      <c r="AI766" s="21"/>
    </row>
    <row r="767" spans="35:35" ht="13" x14ac:dyDescent="0.15">
      <c r="AI767" s="21"/>
    </row>
    <row r="768" spans="35:35" ht="13" x14ac:dyDescent="0.15">
      <c r="AI768" s="21"/>
    </row>
    <row r="769" spans="35:35" ht="13" x14ac:dyDescent="0.15">
      <c r="AI769" s="21"/>
    </row>
    <row r="770" spans="35:35" ht="13" x14ac:dyDescent="0.15">
      <c r="AI770" s="21"/>
    </row>
    <row r="771" spans="35:35" ht="13" x14ac:dyDescent="0.15">
      <c r="AI771" s="21"/>
    </row>
    <row r="772" spans="35:35" ht="13" x14ac:dyDescent="0.15">
      <c r="AI772" s="21"/>
    </row>
    <row r="773" spans="35:35" ht="13" x14ac:dyDescent="0.15">
      <c r="AI773" s="21"/>
    </row>
    <row r="774" spans="35:35" ht="13" x14ac:dyDescent="0.15">
      <c r="AI774" s="21"/>
    </row>
    <row r="775" spans="35:35" ht="13" x14ac:dyDescent="0.15">
      <c r="AI775" s="21"/>
    </row>
    <row r="776" spans="35:35" ht="13" x14ac:dyDescent="0.15">
      <c r="AI776" s="21"/>
    </row>
    <row r="777" spans="35:35" ht="13" x14ac:dyDescent="0.15">
      <c r="AI777" s="21"/>
    </row>
    <row r="778" spans="35:35" ht="13" x14ac:dyDescent="0.15">
      <c r="AI778" s="21"/>
    </row>
    <row r="779" spans="35:35" ht="13" x14ac:dyDescent="0.15">
      <c r="AI779" s="21"/>
    </row>
    <row r="780" spans="35:35" ht="13" x14ac:dyDescent="0.15">
      <c r="AI780" s="21"/>
    </row>
    <row r="781" spans="35:35" ht="13" x14ac:dyDescent="0.15">
      <c r="AI781" s="21"/>
    </row>
    <row r="782" spans="35:35" ht="13" x14ac:dyDescent="0.15">
      <c r="AI782" s="21"/>
    </row>
    <row r="783" spans="35:35" ht="13" x14ac:dyDescent="0.15">
      <c r="AI783" s="21"/>
    </row>
    <row r="784" spans="35:35" ht="13" x14ac:dyDescent="0.15">
      <c r="AI784" s="21"/>
    </row>
    <row r="785" spans="35:35" ht="13" x14ac:dyDescent="0.15">
      <c r="AI785" s="21"/>
    </row>
    <row r="786" spans="35:35" ht="13" x14ac:dyDescent="0.15">
      <c r="AI786" s="21"/>
    </row>
    <row r="787" spans="35:35" ht="13" x14ac:dyDescent="0.15">
      <c r="AI787" s="21"/>
    </row>
    <row r="788" spans="35:35" ht="13" x14ac:dyDescent="0.15">
      <c r="AI788" s="21"/>
    </row>
    <row r="789" spans="35:35" ht="13" x14ac:dyDescent="0.15">
      <c r="AI789" s="21"/>
    </row>
    <row r="790" spans="35:35" ht="13" x14ac:dyDescent="0.15">
      <c r="AI790" s="21"/>
    </row>
    <row r="791" spans="35:35" ht="13" x14ac:dyDescent="0.15">
      <c r="AI791" s="21"/>
    </row>
    <row r="792" spans="35:35" ht="13" x14ac:dyDescent="0.15">
      <c r="AI792" s="21"/>
    </row>
    <row r="793" spans="35:35" ht="13" x14ac:dyDescent="0.15">
      <c r="AI793" s="21"/>
    </row>
    <row r="794" spans="35:35" ht="13" x14ac:dyDescent="0.15">
      <c r="AI794" s="21"/>
    </row>
    <row r="795" spans="35:35" ht="13" x14ac:dyDescent="0.15">
      <c r="AI795" s="21"/>
    </row>
    <row r="796" spans="35:35" ht="13" x14ac:dyDescent="0.15">
      <c r="AI796" s="21"/>
    </row>
    <row r="797" spans="35:35" ht="13" x14ac:dyDescent="0.15">
      <c r="AI797" s="21"/>
    </row>
    <row r="798" spans="35:35" ht="13" x14ac:dyDescent="0.15">
      <c r="AI798" s="21"/>
    </row>
    <row r="799" spans="35:35" ht="13" x14ac:dyDescent="0.15">
      <c r="AI799" s="21"/>
    </row>
    <row r="800" spans="35:35" ht="13" x14ac:dyDescent="0.15">
      <c r="AI800" s="21"/>
    </row>
    <row r="801" spans="35:35" ht="13" x14ac:dyDescent="0.15">
      <c r="AI801" s="21"/>
    </row>
    <row r="802" spans="35:35" ht="13" x14ac:dyDescent="0.15">
      <c r="AI802" s="21"/>
    </row>
    <row r="803" spans="35:35" ht="13" x14ac:dyDescent="0.15">
      <c r="AI803" s="21"/>
    </row>
    <row r="804" spans="35:35" ht="13" x14ac:dyDescent="0.15">
      <c r="AI804" s="21"/>
    </row>
    <row r="805" spans="35:35" ht="13" x14ac:dyDescent="0.15">
      <c r="AI805" s="21"/>
    </row>
    <row r="806" spans="35:35" ht="13" x14ac:dyDescent="0.15">
      <c r="AI806" s="21"/>
    </row>
    <row r="807" spans="35:35" ht="13" x14ac:dyDescent="0.15">
      <c r="AI807" s="21"/>
    </row>
    <row r="808" spans="35:35" ht="13" x14ac:dyDescent="0.15">
      <c r="AI808" s="21"/>
    </row>
    <row r="809" spans="35:35" ht="13" x14ac:dyDescent="0.15">
      <c r="AI809" s="21"/>
    </row>
    <row r="810" spans="35:35" ht="13" x14ac:dyDescent="0.15">
      <c r="AI810" s="21"/>
    </row>
    <row r="811" spans="35:35" ht="13" x14ac:dyDescent="0.15">
      <c r="AI811" s="21"/>
    </row>
    <row r="812" spans="35:35" ht="13" x14ac:dyDescent="0.15">
      <c r="AI812" s="21"/>
    </row>
    <row r="813" spans="35:35" ht="13" x14ac:dyDescent="0.15">
      <c r="AI813" s="21"/>
    </row>
    <row r="814" spans="35:35" ht="13" x14ac:dyDescent="0.15">
      <c r="AI814" s="21"/>
    </row>
    <row r="815" spans="35:35" ht="13" x14ac:dyDescent="0.15">
      <c r="AI815" s="21"/>
    </row>
    <row r="816" spans="35:35" ht="13" x14ac:dyDescent="0.15">
      <c r="AI816" s="21"/>
    </row>
    <row r="817" spans="35:35" ht="13" x14ac:dyDescent="0.15">
      <c r="AI817" s="21"/>
    </row>
    <row r="818" spans="35:35" ht="13" x14ac:dyDescent="0.15">
      <c r="AI818" s="21"/>
    </row>
    <row r="819" spans="35:35" ht="13" x14ac:dyDescent="0.15">
      <c r="AI819" s="21"/>
    </row>
    <row r="820" spans="35:35" ht="13" x14ac:dyDescent="0.15">
      <c r="AI820" s="21"/>
    </row>
    <row r="821" spans="35:35" ht="13" x14ac:dyDescent="0.15">
      <c r="AI821" s="21"/>
    </row>
    <row r="822" spans="35:35" ht="13" x14ac:dyDescent="0.15">
      <c r="AI822" s="21"/>
    </row>
    <row r="823" spans="35:35" ht="13" x14ac:dyDescent="0.15">
      <c r="AI823" s="21"/>
    </row>
    <row r="824" spans="35:35" ht="13" x14ac:dyDescent="0.15">
      <c r="AI824" s="21"/>
    </row>
    <row r="825" spans="35:35" ht="13" x14ac:dyDescent="0.15">
      <c r="AI825" s="21"/>
    </row>
    <row r="826" spans="35:35" ht="13" x14ac:dyDescent="0.15">
      <c r="AI826" s="21"/>
    </row>
    <row r="827" spans="35:35" ht="13" x14ac:dyDescent="0.15">
      <c r="AI827" s="21"/>
    </row>
    <row r="828" spans="35:35" ht="13" x14ac:dyDescent="0.15">
      <c r="AI828" s="21"/>
    </row>
    <row r="829" spans="35:35" ht="13" x14ac:dyDescent="0.15">
      <c r="AI829" s="21"/>
    </row>
    <row r="830" spans="35:35" ht="13" x14ac:dyDescent="0.15">
      <c r="AI830" s="21"/>
    </row>
    <row r="831" spans="35:35" ht="13" x14ac:dyDescent="0.15">
      <c r="AI831" s="21"/>
    </row>
    <row r="832" spans="35:35" ht="13" x14ac:dyDescent="0.15">
      <c r="AI832" s="21"/>
    </row>
    <row r="833" spans="35:35" ht="13" x14ac:dyDescent="0.15">
      <c r="AI833" s="21"/>
    </row>
    <row r="834" spans="35:35" ht="13" x14ac:dyDescent="0.15">
      <c r="AI834" s="21"/>
    </row>
    <row r="835" spans="35:35" ht="13" x14ac:dyDescent="0.15">
      <c r="AI835" s="21"/>
    </row>
    <row r="836" spans="35:35" ht="13" x14ac:dyDescent="0.15">
      <c r="AI836" s="21"/>
    </row>
    <row r="837" spans="35:35" ht="13" x14ac:dyDescent="0.15">
      <c r="AI837" s="21"/>
    </row>
    <row r="838" spans="35:35" ht="13" x14ac:dyDescent="0.15">
      <c r="AI838" s="21"/>
    </row>
    <row r="839" spans="35:35" ht="13" x14ac:dyDescent="0.15">
      <c r="AI839" s="21"/>
    </row>
    <row r="840" spans="35:35" ht="13" x14ac:dyDescent="0.15">
      <c r="AI840" s="21"/>
    </row>
    <row r="841" spans="35:35" ht="13" x14ac:dyDescent="0.15">
      <c r="AI841" s="21"/>
    </row>
    <row r="842" spans="35:35" ht="13" x14ac:dyDescent="0.15">
      <c r="AI842" s="21"/>
    </row>
    <row r="843" spans="35:35" ht="13" x14ac:dyDescent="0.15">
      <c r="AI843" s="21"/>
    </row>
    <row r="844" spans="35:35" ht="13" x14ac:dyDescent="0.15">
      <c r="AI844" s="21"/>
    </row>
    <row r="845" spans="35:35" ht="13" x14ac:dyDescent="0.15">
      <c r="AI845" s="21"/>
    </row>
    <row r="846" spans="35:35" ht="13" x14ac:dyDescent="0.15">
      <c r="AI846" s="21"/>
    </row>
    <row r="847" spans="35:35" ht="13" x14ac:dyDescent="0.15">
      <c r="AI847" s="21"/>
    </row>
    <row r="848" spans="35:35" ht="13" x14ac:dyDescent="0.15">
      <c r="AI848" s="21"/>
    </row>
    <row r="849" spans="35:35" ht="13" x14ac:dyDescent="0.15">
      <c r="AI849" s="21"/>
    </row>
    <row r="850" spans="35:35" ht="13" x14ac:dyDescent="0.15">
      <c r="AI850" s="21"/>
    </row>
    <row r="851" spans="35:35" ht="13" x14ac:dyDescent="0.15">
      <c r="AI851" s="21"/>
    </row>
    <row r="852" spans="35:35" ht="13" x14ac:dyDescent="0.15">
      <c r="AI852" s="21"/>
    </row>
    <row r="853" spans="35:35" ht="13" x14ac:dyDescent="0.15">
      <c r="AI853" s="21"/>
    </row>
    <row r="854" spans="35:35" ht="13" x14ac:dyDescent="0.15">
      <c r="AI854" s="21"/>
    </row>
    <row r="855" spans="35:35" ht="13" x14ac:dyDescent="0.15">
      <c r="AI855" s="21"/>
    </row>
    <row r="856" spans="35:35" ht="13" x14ac:dyDescent="0.15">
      <c r="AI856" s="21"/>
    </row>
    <row r="857" spans="35:35" ht="13" x14ac:dyDescent="0.15">
      <c r="AI857" s="21"/>
    </row>
    <row r="858" spans="35:35" ht="13" x14ac:dyDescent="0.15">
      <c r="AI858" s="21"/>
    </row>
    <row r="859" spans="35:35" ht="13" x14ac:dyDescent="0.15">
      <c r="AI859" s="21"/>
    </row>
    <row r="860" spans="35:35" ht="13" x14ac:dyDescent="0.15">
      <c r="AI860" s="21"/>
    </row>
    <row r="861" spans="35:35" ht="13" x14ac:dyDescent="0.15">
      <c r="AI861" s="21"/>
    </row>
    <row r="862" spans="35:35" ht="13" x14ac:dyDescent="0.15">
      <c r="AI862" s="21"/>
    </row>
    <row r="863" spans="35:35" ht="13" x14ac:dyDescent="0.15">
      <c r="AI863" s="21"/>
    </row>
    <row r="864" spans="35:35" ht="13" x14ac:dyDescent="0.15">
      <c r="AI864" s="21"/>
    </row>
    <row r="865" spans="35:35" ht="13" x14ac:dyDescent="0.15">
      <c r="AI865" s="21"/>
    </row>
    <row r="866" spans="35:35" ht="13" x14ac:dyDescent="0.15">
      <c r="AI866" s="21"/>
    </row>
    <row r="867" spans="35:35" ht="13" x14ac:dyDescent="0.15">
      <c r="AI867" s="21"/>
    </row>
    <row r="868" spans="35:35" ht="13" x14ac:dyDescent="0.15">
      <c r="AI868" s="21"/>
    </row>
    <row r="869" spans="35:35" ht="13" x14ac:dyDescent="0.15">
      <c r="AI869" s="21"/>
    </row>
    <row r="870" spans="35:35" ht="13" x14ac:dyDescent="0.15">
      <c r="AI870" s="21"/>
    </row>
    <row r="871" spans="35:35" ht="13" x14ac:dyDescent="0.15">
      <c r="AI871" s="21"/>
    </row>
    <row r="872" spans="35:35" ht="13" x14ac:dyDescent="0.15">
      <c r="AI872" s="21"/>
    </row>
    <row r="873" spans="35:35" ht="13" x14ac:dyDescent="0.15">
      <c r="AI873" s="21"/>
    </row>
    <row r="874" spans="35:35" ht="13" x14ac:dyDescent="0.15">
      <c r="AI874" s="21"/>
    </row>
    <row r="875" spans="35:35" ht="13" x14ac:dyDescent="0.15">
      <c r="AI875" s="21"/>
    </row>
    <row r="876" spans="35:35" ht="13" x14ac:dyDescent="0.15">
      <c r="AI876" s="21"/>
    </row>
    <row r="877" spans="35:35" ht="13" x14ac:dyDescent="0.15">
      <c r="AI877" s="21"/>
    </row>
    <row r="878" spans="35:35" ht="13" x14ac:dyDescent="0.15">
      <c r="AI878" s="21"/>
    </row>
    <row r="879" spans="35:35" ht="13" x14ac:dyDescent="0.15">
      <c r="AI879" s="21"/>
    </row>
    <row r="880" spans="35:35" ht="13" x14ac:dyDescent="0.15">
      <c r="AI880" s="21"/>
    </row>
    <row r="881" spans="35:35" ht="13" x14ac:dyDescent="0.15">
      <c r="AI881" s="21"/>
    </row>
    <row r="882" spans="35:35" ht="13" x14ac:dyDescent="0.15">
      <c r="AI882" s="21"/>
    </row>
    <row r="883" spans="35:35" ht="13" x14ac:dyDescent="0.15">
      <c r="AI883" s="21"/>
    </row>
    <row r="884" spans="35:35" ht="13" x14ac:dyDescent="0.15">
      <c r="AI884" s="21"/>
    </row>
    <row r="885" spans="35:35" ht="13" x14ac:dyDescent="0.15">
      <c r="AI885" s="21"/>
    </row>
    <row r="886" spans="35:35" ht="13" x14ac:dyDescent="0.15">
      <c r="AI886" s="21"/>
    </row>
    <row r="887" spans="35:35" ht="13" x14ac:dyDescent="0.15">
      <c r="AI887" s="21"/>
    </row>
    <row r="888" spans="35:35" ht="13" x14ac:dyDescent="0.15">
      <c r="AI888" s="21"/>
    </row>
    <row r="889" spans="35:35" ht="13" x14ac:dyDescent="0.15">
      <c r="AI889" s="21"/>
    </row>
    <row r="890" spans="35:35" ht="13" x14ac:dyDescent="0.15">
      <c r="AI890" s="21"/>
    </row>
    <row r="891" spans="35:35" ht="13" x14ac:dyDescent="0.15">
      <c r="AI891" s="21"/>
    </row>
    <row r="892" spans="35:35" ht="13" x14ac:dyDescent="0.15">
      <c r="AI892" s="21"/>
    </row>
    <row r="893" spans="35:35" ht="13" x14ac:dyDescent="0.15">
      <c r="AI893" s="21"/>
    </row>
    <row r="894" spans="35:35" ht="13" x14ac:dyDescent="0.15">
      <c r="AI894" s="21"/>
    </row>
    <row r="895" spans="35:35" ht="13" x14ac:dyDescent="0.15">
      <c r="AI895" s="21"/>
    </row>
    <row r="896" spans="35:35" ht="13" x14ac:dyDescent="0.15">
      <c r="AI896" s="21"/>
    </row>
    <row r="897" spans="35:35" ht="13" x14ac:dyDescent="0.15">
      <c r="AI897" s="21"/>
    </row>
    <row r="898" spans="35:35" ht="13" x14ac:dyDescent="0.15">
      <c r="AI898" s="21"/>
    </row>
    <row r="899" spans="35:35" ht="13" x14ac:dyDescent="0.15">
      <c r="AI899" s="21"/>
    </row>
    <row r="900" spans="35:35" ht="13" x14ac:dyDescent="0.15">
      <c r="AI900" s="21"/>
    </row>
    <row r="901" spans="35:35" ht="13" x14ac:dyDescent="0.15">
      <c r="AI901" s="21"/>
    </row>
    <row r="902" spans="35:35" ht="13" x14ac:dyDescent="0.15">
      <c r="AI902" s="21"/>
    </row>
    <row r="903" spans="35:35" ht="13" x14ac:dyDescent="0.15">
      <c r="AI903" s="21"/>
    </row>
    <row r="904" spans="35:35" ht="13" x14ac:dyDescent="0.15">
      <c r="AI904" s="21"/>
    </row>
    <row r="905" spans="35:35" ht="13" x14ac:dyDescent="0.15">
      <c r="AI905" s="21"/>
    </row>
    <row r="906" spans="35:35" ht="13" x14ac:dyDescent="0.15">
      <c r="AI906" s="21"/>
    </row>
    <row r="907" spans="35:35" ht="13" x14ac:dyDescent="0.15">
      <c r="AI907" s="21"/>
    </row>
    <row r="908" spans="35:35" ht="13" x14ac:dyDescent="0.15">
      <c r="AI908" s="21"/>
    </row>
    <row r="909" spans="35:35" ht="13" x14ac:dyDescent="0.15">
      <c r="AI909" s="21"/>
    </row>
    <row r="910" spans="35:35" ht="13" x14ac:dyDescent="0.15">
      <c r="AI910" s="21"/>
    </row>
    <row r="911" spans="35:35" ht="13" x14ac:dyDescent="0.15">
      <c r="AI911" s="21"/>
    </row>
    <row r="912" spans="35:35" ht="13" x14ac:dyDescent="0.15">
      <c r="AI912" s="21"/>
    </row>
    <row r="913" spans="35:35" ht="13" x14ac:dyDescent="0.15">
      <c r="AI913" s="21"/>
    </row>
    <row r="914" spans="35:35" ht="13" x14ac:dyDescent="0.15">
      <c r="AI914" s="21"/>
    </row>
    <row r="915" spans="35:35" ht="13" x14ac:dyDescent="0.15">
      <c r="AI915" s="21"/>
    </row>
    <row r="916" spans="35:35" ht="13" x14ac:dyDescent="0.15">
      <c r="AI916" s="21"/>
    </row>
    <row r="917" spans="35:35" ht="13" x14ac:dyDescent="0.15">
      <c r="AI917" s="21"/>
    </row>
    <row r="918" spans="35:35" ht="13" x14ac:dyDescent="0.15">
      <c r="AI918" s="21"/>
    </row>
    <row r="919" spans="35:35" ht="13" x14ac:dyDescent="0.15">
      <c r="AI919" s="21"/>
    </row>
    <row r="920" spans="35:35" ht="13" x14ac:dyDescent="0.15">
      <c r="AI920" s="21"/>
    </row>
    <row r="921" spans="35:35" ht="13" x14ac:dyDescent="0.15">
      <c r="AI921" s="21"/>
    </row>
    <row r="922" spans="35:35" ht="13" x14ac:dyDescent="0.15">
      <c r="AI922" s="21"/>
    </row>
    <row r="923" spans="35:35" ht="13" x14ac:dyDescent="0.15">
      <c r="AI923" s="21"/>
    </row>
    <row r="924" spans="35:35" ht="13" x14ac:dyDescent="0.15">
      <c r="AI924" s="21"/>
    </row>
    <row r="925" spans="35:35" ht="13" x14ac:dyDescent="0.15">
      <c r="AI925" s="21"/>
    </row>
    <row r="926" spans="35:35" ht="13" x14ac:dyDescent="0.15">
      <c r="AI926" s="21"/>
    </row>
    <row r="927" spans="35:35" ht="13" x14ac:dyDescent="0.15">
      <c r="AI927" s="21"/>
    </row>
    <row r="928" spans="35:35" ht="13" x14ac:dyDescent="0.15">
      <c r="AI928" s="21"/>
    </row>
    <row r="929" spans="35:35" ht="13" x14ac:dyDescent="0.15">
      <c r="AI929" s="21"/>
    </row>
    <row r="930" spans="35:35" ht="13" x14ac:dyDescent="0.15">
      <c r="AI930" s="21"/>
    </row>
    <row r="931" spans="35:35" ht="13" x14ac:dyDescent="0.15">
      <c r="AI931" s="21"/>
    </row>
    <row r="932" spans="35:35" ht="13" x14ac:dyDescent="0.15">
      <c r="AI932" s="21"/>
    </row>
    <row r="933" spans="35:35" ht="13" x14ac:dyDescent="0.15">
      <c r="AI933" s="21"/>
    </row>
    <row r="934" spans="35:35" ht="13" x14ac:dyDescent="0.15">
      <c r="AI934" s="21"/>
    </row>
    <row r="935" spans="35:35" ht="13" x14ac:dyDescent="0.15">
      <c r="AI935" s="21"/>
    </row>
    <row r="936" spans="35:35" ht="13" x14ac:dyDescent="0.15">
      <c r="AI936" s="21"/>
    </row>
    <row r="937" spans="35:35" ht="13" x14ac:dyDescent="0.15">
      <c r="AI937" s="21"/>
    </row>
    <row r="938" spans="35:35" ht="13" x14ac:dyDescent="0.15">
      <c r="AI938" s="21"/>
    </row>
    <row r="939" spans="35:35" ht="13" x14ac:dyDescent="0.15">
      <c r="AI939" s="21"/>
    </row>
    <row r="940" spans="35:35" ht="13" x14ac:dyDescent="0.15">
      <c r="AI940" s="21"/>
    </row>
    <row r="941" spans="35:35" ht="13" x14ac:dyDescent="0.15">
      <c r="AI941" s="21"/>
    </row>
    <row r="942" spans="35:35" ht="13" x14ac:dyDescent="0.15">
      <c r="AI942" s="21"/>
    </row>
    <row r="943" spans="35:35" ht="13" x14ac:dyDescent="0.15">
      <c r="AI943" s="21"/>
    </row>
    <row r="944" spans="35:35" ht="13" x14ac:dyDescent="0.15">
      <c r="AI944" s="21"/>
    </row>
    <row r="945" spans="35:35" ht="13" x14ac:dyDescent="0.15">
      <c r="AI945" s="21"/>
    </row>
    <row r="946" spans="35:35" ht="13" x14ac:dyDescent="0.15">
      <c r="AI946" s="21"/>
    </row>
    <row r="947" spans="35:35" ht="13" x14ac:dyDescent="0.15">
      <c r="AI947" s="21"/>
    </row>
    <row r="948" spans="35:35" ht="13" x14ac:dyDescent="0.15">
      <c r="AI948" s="21"/>
    </row>
    <row r="949" spans="35:35" ht="13" x14ac:dyDescent="0.15">
      <c r="AI949" s="21"/>
    </row>
    <row r="950" spans="35:35" ht="13" x14ac:dyDescent="0.15">
      <c r="AI950" s="21"/>
    </row>
    <row r="951" spans="35:35" ht="13" x14ac:dyDescent="0.15">
      <c r="AI951" s="21"/>
    </row>
    <row r="952" spans="35:35" ht="13" x14ac:dyDescent="0.15">
      <c r="AI952" s="21"/>
    </row>
    <row r="953" spans="35:35" ht="13" x14ac:dyDescent="0.15">
      <c r="AI953" s="21"/>
    </row>
    <row r="954" spans="35:35" ht="13" x14ac:dyDescent="0.15">
      <c r="AI954" s="21"/>
    </row>
    <row r="955" spans="35:35" ht="13" x14ac:dyDescent="0.15">
      <c r="AI955" s="21"/>
    </row>
    <row r="956" spans="35:35" ht="13" x14ac:dyDescent="0.15">
      <c r="AI956" s="21"/>
    </row>
    <row r="957" spans="35:35" ht="13" x14ac:dyDescent="0.15">
      <c r="AI957" s="21"/>
    </row>
    <row r="958" spans="35:35" ht="13" x14ac:dyDescent="0.15">
      <c r="AI958" s="21"/>
    </row>
    <row r="959" spans="35:35" ht="13" x14ac:dyDescent="0.15">
      <c r="AI959" s="21"/>
    </row>
    <row r="960" spans="35:35" ht="13" x14ac:dyDescent="0.15">
      <c r="AI960" s="21"/>
    </row>
    <row r="961" spans="35:35" ht="13" x14ac:dyDescent="0.15">
      <c r="AI961" s="21"/>
    </row>
    <row r="962" spans="35:35" ht="13" x14ac:dyDescent="0.15">
      <c r="AI962" s="21"/>
    </row>
    <row r="963" spans="35:35" ht="13" x14ac:dyDescent="0.15">
      <c r="AI963" s="21"/>
    </row>
    <row r="964" spans="35:35" ht="13" x14ac:dyDescent="0.15">
      <c r="AI964" s="21"/>
    </row>
    <row r="965" spans="35:35" ht="13" x14ac:dyDescent="0.15">
      <c r="AI965" s="21"/>
    </row>
    <row r="966" spans="35:35" ht="13" x14ac:dyDescent="0.15">
      <c r="AI966" s="21"/>
    </row>
    <row r="967" spans="35:35" ht="13" x14ac:dyDescent="0.15">
      <c r="AI967" s="21"/>
    </row>
    <row r="968" spans="35:35" ht="13" x14ac:dyDescent="0.15">
      <c r="AI968" s="21"/>
    </row>
    <row r="969" spans="35:35" ht="13" x14ac:dyDescent="0.15">
      <c r="AI969" s="21"/>
    </row>
    <row r="970" spans="35:35" ht="13" x14ac:dyDescent="0.15">
      <c r="AI970" s="21"/>
    </row>
    <row r="971" spans="35:35" ht="13" x14ac:dyDescent="0.15">
      <c r="AI971" s="21"/>
    </row>
    <row r="972" spans="35:35" ht="13" x14ac:dyDescent="0.15">
      <c r="AI972" s="21"/>
    </row>
    <row r="973" spans="35:35" ht="13" x14ac:dyDescent="0.15">
      <c r="AI973" s="21"/>
    </row>
    <row r="974" spans="35:35" ht="13" x14ac:dyDescent="0.15">
      <c r="AI974" s="21"/>
    </row>
    <row r="975" spans="35:35" ht="13" x14ac:dyDescent="0.15">
      <c r="AI975" s="21"/>
    </row>
    <row r="976" spans="35:35" ht="13" x14ac:dyDescent="0.15">
      <c r="AI976" s="21"/>
    </row>
    <row r="977" spans="35:35" ht="13" x14ac:dyDescent="0.15">
      <c r="AI977" s="21"/>
    </row>
    <row r="978" spans="35:35" ht="13" x14ac:dyDescent="0.15">
      <c r="AI978" s="21"/>
    </row>
    <row r="979" spans="35:35" ht="13" x14ac:dyDescent="0.15">
      <c r="AI979" s="21"/>
    </row>
    <row r="980" spans="35:35" ht="13" x14ac:dyDescent="0.15">
      <c r="AI980" s="21"/>
    </row>
    <row r="981" spans="35:35" ht="13" x14ac:dyDescent="0.15">
      <c r="AI981" s="21"/>
    </row>
    <row r="982" spans="35:35" ht="13" x14ac:dyDescent="0.15">
      <c r="AI982" s="21"/>
    </row>
    <row r="983" spans="35:35" ht="13" x14ac:dyDescent="0.15">
      <c r="AI983" s="21"/>
    </row>
    <row r="984" spans="35:35" ht="13" x14ac:dyDescent="0.15">
      <c r="AI984" s="21"/>
    </row>
    <row r="985" spans="35:35" ht="13" x14ac:dyDescent="0.15">
      <c r="AI985" s="21"/>
    </row>
    <row r="986" spans="35:35" ht="13" x14ac:dyDescent="0.15">
      <c r="AI986" s="21"/>
    </row>
    <row r="987" spans="35:35" ht="13" x14ac:dyDescent="0.15">
      <c r="AI987" s="21"/>
    </row>
    <row r="988" spans="35:35" ht="13" x14ac:dyDescent="0.15">
      <c r="AI988" s="21"/>
    </row>
    <row r="989" spans="35:35" ht="13" x14ac:dyDescent="0.15">
      <c r="AI989" s="21"/>
    </row>
    <row r="990" spans="35:35" ht="13" x14ac:dyDescent="0.15">
      <c r="AI990" s="21"/>
    </row>
    <row r="991" spans="35:35" ht="13" x14ac:dyDescent="0.15">
      <c r="AI991" s="21"/>
    </row>
    <row r="992" spans="35:35" ht="13" x14ac:dyDescent="0.15">
      <c r="AI992" s="21"/>
    </row>
    <row r="993" spans="35:35" ht="13" x14ac:dyDescent="0.15">
      <c r="AI993" s="21"/>
    </row>
    <row r="994" spans="35:35" ht="13" x14ac:dyDescent="0.15">
      <c r="AI994" s="21"/>
    </row>
    <row r="995" spans="35:35" ht="13" x14ac:dyDescent="0.15">
      <c r="AI995" s="21"/>
    </row>
    <row r="996" spans="35:35" ht="13" x14ac:dyDescent="0.15">
      <c r="AI996" s="21"/>
    </row>
    <row r="997" spans="35:35" ht="13" x14ac:dyDescent="0.15">
      <c r="AI997" s="21"/>
    </row>
    <row r="998" spans="35:35" ht="13" x14ac:dyDescent="0.15">
      <c r="AI998" s="21"/>
    </row>
    <row r="999" spans="35:35" ht="13" x14ac:dyDescent="0.15">
      <c r="AI999" s="21"/>
    </row>
    <row r="1000" spans="35:35" ht="13" x14ac:dyDescent="0.15">
      <c r="AI1000" s="21"/>
    </row>
    <row r="1001" spans="35:35" ht="13" x14ac:dyDescent="0.15">
      <c r="AI1001" s="21"/>
    </row>
    <row r="1002" spans="35:35" ht="13" x14ac:dyDescent="0.15">
      <c r="AI1002" s="21"/>
    </row>
    <row r="1003" spans="35:35" ht="13" x14ac:dyDescent="0.15">
      <c r="AI1003" s="21"/>
    </row>
    <row r="1004" spans="35:35" ht="13" x14ac:dyDescent="0.15">
      <c r="AI1004" s="21"/>
    </row>
    <row r="1005" spans="35:35" ht="13" x14ac:dyDescent="0.15">
      <c r="AI1005" s="21"/>
    </row>
    <row r="1006" spans="35:35" ht="13" x14ac:dyDescent="0.15">
      <c r="AI1006" s="21"/>
    </row>
    <row r="1007" spans="35:35" ht="13" x14ac:dyDescent="0.15">
      <c r="AI1007" s="21"/>
    </row>
    <row r="1008" spans="35:35" ht="13" x14ac:dyDescent="0.15">
      <c r="AI1008" s="21"/>
    </row>
    <row r="1009" spans="35:35" ht="13" x14ac:dyDescent="0.15">
      <c r="AI1009" s="21"/>
    </row>
    <row r="1010" spans="35:35" ht="13" x14ac:dyDescent="0.15">
      <c r="AI1010" s="21"/>
    </row>
    <row r="1011" spans="35:35" ht="13" x14ac:dyDescent="0.15">
      <c r="AI1011" s="21"/>
    </row>
    <row r="1012" spans="35:35" ht="13" x14ac:dyDescent="0.15">
      <c r="AI1012" s="21"/>
    </row>
    <row r="1013" spans="35:35" ht="13" x14ac:dyDescent="0.15">
      <c r="AI1013" s="21"/>
    </row>
    <row r="1014" spans="35:35" ht="13" x14ac:dyDescent="0.15">
      <c r="AI1014" s="21"/>
    </row>
    <row r="1015" spans="35:35" ht="13" x14ac:dyDescent="0.15">
      <c r="AI1015" s="21"/>
    </row>
    <row r="1016" spans="35:35" ht="13" x14ac:dyDescent="0.15">
      <c r="AI1016" s="21"/>
    </row>
    <row r="1017" spans="35:35" ht="13" x14ac:dyDescent="0.15">
      <c r="AI1017" s="21"/>
    </row>
    <row r="1018" spans="35:35" ht="13" x14ac:dyDescent="0.15">
      <c r="AI1018" s="21"/>
    </row>
    <row r="1019" spans="35:35" ht="13" x14ac:dyDescent="0.15">
      <c r="AI1019" s="21"/>
    </row>
    <row r="1020" spans="35:35" ht="13" x14ac:dyDescent="0.15">
      <c r="AI1020" s="21"/>
    </row>
    <row r="1021" spans="35:35" ht="13" x14ac:dyDescent="0.15">
      <c r="AI1021" s="21"/>
    </row>
    <row r="1022" spans="35:35" ht="13" x14ac:dyDescent="0.15">
      <c r="AI1022" s="21"/>
    </row>
    <row r="1023" spans="35:35" ht="13" x14ac:dyDescent="0.15">
      <c r="AI1023" s="21"/>
    </row>
    <row r="1024" spans="35:35" ht="13" x14ac:dyDescent="0.15">
      <c r="AI1024" s="21"/>
    </row>
    <row r="1025" spans="35:35" ht="13" x14ac:dyDescent="0.15">
      <c r="AI1025" s="21"/>
    </row>
    <row r="1026" spans="35:35" ht="13" x14ac:dyDescent="0.15">
      <c r="AI1026" s="21"/>
    </row>
    <row r="1027" spans="35:35" ht="13" x14ac:dyDescent="0.15">
      <c r="AI1027" s="21"/>
    </row>
    <row r="1028" spans="35:35" ht="13" x14ac:dyDescent="0.15">
      <c r="AI1028" s="21"/>
    </row>
    <row r="1029" spans="35:35" ht="13" x14ac:dyDescent="0.15">
      <c r="AI1029" s="21"/>
    </row>
    <row r="1030" spans="35:35" ht="13" x14ac:dyDescent="0.15">
      <c r="AI1030" s="21"/>
    </row>
    <row r="1031" spans="35:35" ht="13" x14ac:dyDescent="0.15">
      <c r="AI1031" s="21"/>
    </row>
    <row r="1032" spans="35:35" ht="13" x14ac:dyDescent="0.15">
      <c r="AI1032" s="21"/>
    </row>
    <row r="1033" spans="35:35" ht="13" x14ac:dyDescent="0.15">
      <c r="AI1033" s="21"/>
    </row>
    <row r="1034" spans="35:35" ht="13" x14ac:dyDescent="0.15">
      <c r="AI1034" s="21"/>
    </row>
    <row r="1035" spans="35:35" ht="13" x14ac:dyDescent="0.15">
      <c r="AI1035" s="21"/>
    </row>
    <row r="1036" spans="35:35" ht="13" x14ac:dyDescent="0.15">
      <c r="AI1036" s="21"/>
    </row>
    <row r="1037" spans="35:35" ht="13" x14ac:dyDescent="0.15">
      <c r="AI1037" s="21"/>
    </row>
    <row r="1038" spans="35:35" ht="13" x14ac:dyDescent="0.15">
      <c r="AI1038" s="21"/>
    </row>
    <row r="1039" spans="35:35" ht="13" x14ac:dyDescent="0.15">
      <c r="AI1039" s="21"/>
    </row>
    <row r="1040" spans="35:35" ht="13" x14ac:dyDescent="0.15">
      <c r="AI1040" s="21"/>
    </row>
    <row r="1041" spans="35:35" ht="13" x14ac:dyDescent="0.15">
      <c r="AI1041" s="21"/>
    </row>
    <row r="1042" spans="35:35" ht="13" x14ac:dyDescent="0.15">
      <c r="AI1042" s="21"/>
    </row>
    <row r="1043" spans="35:35" ht="13" x14ac:dyDescent="0.15">
      <c r="AI1043" s="21"/>
    </row>
    <row r="1044" spans="35:35" ht="13" x14ac:dyDescent="0.15">
      <c r="AI1044" s="21"/>
    </row>
    <row r="1045" spans="35:35" ht="13" x14ac:dyDescent="0.15">
      <c r="AI1045" s="21"/>
    </row>
    <row r="1046" spans="35:35" ht="13" x14ac:dyDescent="0.15">
      <c r="AI1046" s="21"/>
    </row>
    <row r="1047" spans="35:35" ht="13" x14ac:dyDescent="0.15">
      <c r="AI1047" s="21"/>
    </row>
    <row r="1048" spans="35:35" ht="13" x14ac:dyDescent="0.15">
      <c r="AI1048" s="21"/>
    </row>
    <row r="1049" spans="35:35" ht="13" x14ac:dyDescent="0.15">
      <c r="AI1049" s="21"/>
    </row>
    <row r="1050" spans="35:35" ht="13" x14ac:dyDescent="0.15">
      <c r="AI1050" s="21"/>
    </row>
    <row r="1051" spans="35:35" ht="13" x14ac:dyDescent="0.15">
      <c r="AI1051" s="21"/>
    </row>
    <row r="1052" spans="35:35" ht="13" x14ac:dyDescent="0.15">
      <c r="AI1052" s="21"/>
    </row>
    <row r="1053" spans="35:35" ht="13" x14ac:dyDescent="0.15">
      <c r="AI1053" s="21"/>
    </row>
    <row r="1054" spans="35:35" ht="13" x14ac:dyDescent="0.15">
      <c r="AI1054" s="21"/>
    </row>
    <row r="1055" spans="35:35" ht="13" x14ac:dyDescent="0.15">
      <c r="AI1055" s="21"/>
    </row>
    <row r="1056" spans="35:35" ht="13" x14ac:dyDescent="0.15">
      <c r="AI1056" s="21"/>
    </row>
    <row r="1057" spans="35:35" ht="13" x14ac:dyDescent="0.15">
      <c r="AI1057" s="21"/>
    </row>
    <row r="1058" spans="35:35" ht="13" x14ac:dyDescent="0.15">
      <c r="AI1058" s="21"/>
    </row>
    <row r="1059" spans="35:35" ht="13" x14ac:dyDescent="0.15">
      <c r="AI1059" s="21"/>
    </row>
    <row r="1060" spans="35:35" ht="13" x14ac:dyDescent="0.15">
      <c r="AI1060" s="21"/>
    </row>
    <row r="1061" spans="35:35" ht="13" x14ac:dyDescent="0.15">
      <c r="AI1061" s="21"/>
    </row>
    <row r="1062" spans="35:35" ht="13" x14ac:dyDescent="0.15">
      <c r="AI1062" s="21"/>
    </row>
    <row r="1063" spans="35:35" ht="13" x14ac:dyDescent="0.15">
      <c r="AI1063" s="21"/>
    </row>
    <row r="1064" spans="35:35" ht="13" x14ac:dyDescent="0.15">
      <c r="AI1064" s="21"/>
    </row>
    <row r="1065" spans="35:35" ht="13" x14ac:dyDescent="0.15">
      <c r="AI1065" s="21"/>
    </row>
    <row r="1066" spans="35:35" ht="13" x14ac:dyDescent="0.15">
      <c r="AI1066" s="21"/>
    </row>
    <row r="1067" spans="35:35" ht="13" x14ac:dyDescent="0.15">
      <c r="AI1067" s="21"/>
    </row>
    <row r="1068" spans="35:35" ht="13" x14ac:dyDescent="0.15">
      <c r="AI1068" s="21"/>
    </row>
    <row r="1069" spans="35:35" ht="13" x14ac:dyDescent="0.15">
      <c r="AI1069" s="21"/>
    </row>
    <row r="1070" spans="35:35" ht="13" x14ac:dyDescent="0.15">
      <c r="AI1070" s="21"/>
    </row>
    <row r="1071" spans="35:35" ht="13" x14ac:dyDescent="0.15">
      <c r="AI1071" s="21"/>
    </row>
    <row r="1072" spans="35:35" ht="13" x14ac:dyDescent="0.15">
      <c r="AI1072" s="21"/>
    </row>
    <row r="1073" spans="35:35" ht="13" x14ac:dyDescent="0.15">
      <c r="AI1073" s="21"/>
    </row>
    <row r="1074" spans="35:35" ht="13" x14ac:dyDescent="0.15">
      <c r="AI1074" s="21"/>
    </row>
    <row r="1075" spans="35:35" ht="13" x14ac:dyDescent="0.15">
      <c r="AI1075" s="21"/>
    </row>
    <row r="1076" spans="35:35" ht="13" x14ac:dyDescent="0.15">
      <c r="AI1076" s="21"/>
    </row>
    <row r="1077" spans="35:35" ht="13" x14ac:dyDescent="0.15">
      <c r="AI1077" s="21"/>
    </row>
    <row r="1078" spans="35:35" ht="13" x14ac:dyDescent="0.15">
      <c r="AI1078" s="21"/>
    </row>
    <row r="1079" spans="35:35" ht="13" x14ac:dyDescent="0.15">
      <c r="AI1079" s="21"/>
    </row>
    <row r="1080" spans="35:35" ht="13" x14ac:dyDescent="0.15">
      <c r="AI1080" s="21"/>
    </row>
    <row r="1081" spans="35:35" ht="13" x14ac:dyDescent="0.15">
      <c r="AI1081" s="21"/>
    </row>
    <row r="1082" spans="35:35" ht="13" x14ac:dyDescent="0.15">
      <c r="AI1082" s="21"/>
    </row>
    <row r="1083" spans="35:35" ht="13" x14ac:dyDescent="0.15">
      <c r="AI1083" s="21"/>
    </row>
    <row r="1084" spans="35:35" ht="13" x14ac:dyDescent="0.15">
      <c r="AI1084" s="21"/>
    </row>
    <row r="1085" spans="35:35" ht="13" x14ac:dyDescent="0.15">
      <c r="AI1085" s="21"/>
    </row>
    <row r="1086" spans="35:35" ht="13" x14ac:dyDescent="0.15">
      <c r="AI1086" s="21"/>
    </row>
    <row r="1087" spans="35:35" ht="13" x14ac:dyDescent="0.15">
      <c r="AI1087" s="21"/>
    </row>
    <row r="1088" spans="35:35" ht="13" x14ac:dyDescent="0.15">
      <c r="AI1088" s="21"/>
    </row>
    <row r="1089" spans="35:35" ht="13" x14ac:dyDescent="0.15">
      <c r="AI1089" s="21"/>
    </row>
    <row r="1090" spans="35:35" ht="13" x14ac:dyDescent="0.15">
      <c r="AI1090" s="21"/>
    </row>
    <row r="1091" spans="35:35" ht="13" x14ac:dyDescent="0.15">
      <c r="AI1091" s="21"/>
    </row>
    <row r="1092" spans="35:35" ht="13" x14ac:dyDescent="0.15">
      <c r="AI1092" s="21"/>
    </row>
    <row r="1093" spans="35:35" ht="13" x14ac:dyDescent="0.15">
      <c r="AI1093" s="21"/>
    </row>
    <row r="1094" spans="35:35" ht="13" x14ac:dyDescent="0.15">
      <c r="AI1094" s="21"/>
    </row>
    <row r="1095" spans="35:35" ht="13" x14ac:dyDescent="0.15">
      <c r="AI1095" s="21"/>
    </row>
    <row r="1096" spans="35:35" ht="13" x14ac:dyDescent="0.15">
      <c r="AI1096" s="21"/>
    </row>
    <row r="1097" spans="35:35" ht="13" x14ac:dyDescent="0.15">
      <c r="AI1097" s="21"/>
    </row>
    <row r="1098" spans="35:35" ht="13" x14ac:dyDescent="0.15">
      <c r="AI1098" s="21"/>
    </row>
    <row r="1099" spans="35:35" ht="13" x14ac:dyDescent="0.15">
      <c r="AI1099" s="21"/>
    </row>
    <row r="1100" spans="35:35" ht="13" x14ac:dyDescent="0.15">
      <c r="AI1100" s="21"/>
    </row>
    <row r="1101" spans="35:35" ht="13" x14ac:dyDescent="0.15">
      <c r="AI1101" s="21"/>
    </row>
    <row r="1102" spans="35:35" ht="13" x14ac:dyDescent="0.15">
      <c r="AI1102" s="21"/>
    </row>
    <row r="1103" spans="35:35" ht="13" x14ac:dyDescent="0.15">
      <c r="AI1103" s="21"/>
    </row>
    <row r="1104" spans="35:35" ht="13" x14ac:dyDescent="0.15">
      <c r="AI1104" s="21"/>
    </row>
    <row r="1105" spans="35:35" ht="13" x14ac:dyDescent="0.15">
      <c r="AI1105" s="21"/>
    </row>
    <row r="1106" spans="35:35" ht="13" x14ac:dyDescent="0.15">
      <c r="AI1106" s="21"/>
    </row>
    <row r="1107" spans="35:35" ht="13" x14ac:dyDescent="0.15">
      <c r="AI1107" s="21"/>
    </row>
    <row r="1108" spans="35:35" ht="13" x14ac:dyDescent="0.15">
      <c r="AI1108" s="21"/>
    </row>
    <row r="1109" spans="35:35" ht="13" x14ac:dyDescent="0.15">
      <c r="AI1109" s="21"/>
    </row>
    <row r="1110" spans="35:35" ht="13" x14ac:dyDescent="0.15">
      <c r="AI1110" s="21"/>
    </row>
    <row r="1111" spans="35:35" ht="13" x14ac:dyDescent="0.15">
      <c r="AI1111" s="21"/>
    </row>
    <row r="1112" spans="35:35" ht="13" x14ac:dyDescent="0.15">
      <c r="AI1112" s="21"/>
    </row>
    <row r="1113" spans="35:35" ht="13" x14ac:dyDescent="0.15">
      <c r="AI1113" s="21"/>
    </row>
    <row r="1114" spans="35:35" ht="13" x14ac:dyDescent="0.15">
      <c r="AI1114" s="21"/>
    </row>
    <row r="1115" spans="35:35" ht="13" x14ac:dyDescent="0.15">
      <c r="AI1115" s="21"/>
    </row>
    <row r="1116" spans="35:35" ht="13" x14ac:dyDescent="0.15">
      <c r="AI1116" s="21"/>
    </row>
    <row r="1117" spans="35:35" ht="13" x14ac:dyDescent="0.15">
      <c r="AI1117" s="21"/>
    </row>
    <row r="1118" spans="35:35" ht="13" x14ac:dyDescent="0.15">
      <c r="AI1118" s="21"/>
    </row>
    <row r="1119" spans="35:35" ht="13" x14ac:dyDescent="0.15">
      <c r="AI1119" s="21"/>
    </row>
    <row r="1120" spans="35:35" ht="13" x14ac:dyDescent="0.15">
      <c r="AI1120" s="21"/>
    </row>
    <row r="1121" spans="35:35" ht="13" x14ac:dyDescent="0.15">
      <c r="AI1121" s="21"/>
    </row>
    <row r="1122" spans="35:35" ht="13" x14ac:dyDescent="0.15">
      <c r="AI1122" s="21"/>
    </row>
    <row r="1123" spans="35:35" ht="13" x14ac:dyDescent="0.15">
      <c r="AI1123" s="21"/>
    </row>
    <row r="1124" spans="35:35" ht="13" x14ac:dyDescent="0.15">
      <c r="AI1124" s="21"/>
    </row>
    <row r="1125" spans="35:35" ht="13" x14ac:dyDescent="0.15">
      <c r="AI1125" s="21"/>
    </row>
    <row r="1126" spans="35:35" ht="13" x14ac:dyDescent="0.15">
      <c r="AI1126" s="21"/>
    </row>
    <row r="1127" spans="35:35" ht="13" x14ac:dyDescent="0.15">
      <c r="AI1127" s="21"/>
    </row>
    <row r="1128" spans="35:35" ht="13" x14ac:dyDescent="0.15">
      <c r="AI1128" s="21"/>
    </row>
    <row r="1129" spans="35:35" ht="13" x14ac:dyDescent="0.15">
      <c r="AI1129" s="21"/>
    </row>
    <row r="1130" spans="35:35" ht="13" x14ac:dyDescent="0.15">
      <c r="AI1130" s="21"/>
    </row>
    <row r="1131" spans="35:35" ht="13" x14ac:dyDescent="0.15">
      <c r="AI1131" s="21"/>
    </row>
    <row r="1132" spans="35:35" ht="13" x14ac:dyDescent="0.15">
      <c r="AI1132" s="21"/>
    </row>
    <row r="1133" spans="35:35" ht="13" x14ac:dyDescent="0.15">
      <c r="AI1133" s="21"/>
    </row>
    <row r="1134" spans="35:35" ht="13" x14ac:dyDescent="0.15">
      <c r="AI1134" s="21"/>
    </row>
    <row r="1135" spans="35:35" ht="13" x14ac:dyDescent="0.15">
      <c r="AI1135" s="21"/>
    </row>
    <row r="1136" spans="35:35" ht="13" x14ac:dyDescent="0.15">
      <c r="AI1136" s="21"/>
    </row>
    <row r="1137" spans="35:35" ht="13" x14ac:dyDescent="0.15">
      <c r="AI1137" s="21"/>
    </row>
    <row r="1138" spans="35:35" ht="13" x14ac:dyDescent="0.15">
      <c r="AI1138" s="21"/>
    </row>
    <row r="1139" spans="35:35" ht="13" x14ac:dyDescent="0.15">
      <c r="AI1139" s="21"/>
    </row>
    <row r="1140" spans="35:35" ht="13" x14ac:dyDescent="0.15">
      <c r="AI1140" s="21"/>
    </row>
    <row r="1141" spans="35:35" ht="13" x14ac:dyDescent="0.15">
      <c r="AI1141" s="21"/>
    </row>
    <row r="1142" spans="35:35" ht="13" x14ac:dyDescent="0.15">
      <c r="AI1142" s="21"/>
    </row>
    <row r="1143" spans="35:35" ht="13" x14ac:dyDescent="0.15">
      <c r="AI1143" s="21"/>
    </row>
    <row r="1144" spans="35:35" ht="13" x14ac:dyDescent="0.15">
      <c r="AI1144" s="21"/>
    </row>
    <row r="1145" spans="35:35" ht="13" x14ac:dyDescent="0.15">
      <c r="AI1145" s="21"/>
    </row>
    <row r="1146" spans="35:35" ht="13" x14ac:dyDescent="0.15">
      <c r="AI1146" s="21"/>
    </row>
    <row r="1147" spans="35:35" ht="13" x14ac:dyDescent="0.15">
      <c r="AI1147" s="21"/>
    </row>
    <row r="1148" spans="35:35" ht="13" x14ac:dyDescent="0.15">
      <c r="AI1148" s="21"/>
    </row>
    <row r="1149" spans="35:35" ht="13" x14ac:dyDescent="0.15">
      <c r="AI1149" s="21"/>
    </row>
    <row r="1150" spans="35:35" ht="13" x14ac:dyDescent="0.15">
      <c r="AI1150" s="21"/>
    </row>
    <row r="1151" spans="35:35" ht="13" x14ac:dyDescent="0.15">
      <c r="AI1151" s="21"/>
    </row>
    <row r="1152" spans="35:35" ht="13" x14ac:dyDescent="0.15">
      <c r="AI1152" s="21"/>
    </row>
    <row r="1153" spans="35:35" ht="13" x14ac:dyDescent="0.15">
      <c r="AI1153" s="21"/>
    </row>
    <row r="1154" spans="35:35" ht="13" x14ac:dyDescent="0.15">
      <c r="AI1154" s="21"/>
    </row>
    <row r="1155" spans="35:35" ht="13" x14ac:dyDescent="0.15">
      <c r="AI1155" s="21"/>
    </row>
    <row r="1156" spans="35:35" ht="13" x14ac:dyDescent="0.15">
      <c r="AI1156" s="21"/>
    </row>
    <row r="1157" spans="35:35" ht="13" x14ac:dyDescent="0.15">
      <c r="AI1157" s="21"/>
    </row>
    <row r="1158" spans="35:35" ht="13" x14ac:dyDescent="0.15">
      <c r="AI1158" s="21"/>
    </row>
    <row r="1159" spans="35:35" ht="13" x14ac:dyDescent="0.15">
      <c r="AI1159" s="21"/>
    </row>
    <row r="1160" spans="35:35" ht="13" x14ac:dyDescent="0.15">
      <c r="AI1160" s="21"/>
    </row>
    <row r="1161" spans="35:35" ht="13" x14ac:dyDescent="0.15">
      <c r="AI1161" s="21"/>
    </row>
    <row r="1162" spans="35:35" ht="13" x14ac:dyDescent="0.15">
      <c r="AI1162" s="21"/>
    </row>
    <row r="1163" spans="35:35" ht="13" x14ac:dyDescent="0.15">
      <c r="AI1163" s="21"/>
    </row>
    <row r="1164" spans="35:35" ht="13" x14ac:dyDescent="0.15">
      <c r="AI1164" s="21"/>
    </row>
    <row r="1165" spans="35:35" ht="13" x14ac:dyDescent="0.15">
      <c r="AI1165" s="21"/>
    </row>
    <row r="1166" spans="35:35" ht="13" x14ac:dyDescent="0.15">
      <c r="AI1166" s="21"/>
    </row>
    <row r="1167" spans="35:35" ht="13" x14ac:dyDescent="0.15">
      <c r="AI1167" s="21"/>
    </row>
    <row r="1168" spans="35:35" ht="13" x14ac:dyDescent="0.15">
      <c r="AI1168" s="21"/>
    </row>
    <row r="1169" spans="35:35" ht="13" x14ac:dyDescent="0.15">
      <c r="AI1169" s="21"/>
    </row>
    <row r="1170" spans="35:35" ht="13" x14ac:dyDescent="0.15">
      <c r="AI1170" s="21"/>
    </row>
    <row r="1171" spans="35:35" ht="13" x14ac:dyDescent="0.15">
      <c r="AI1171" s="21"/>
    </row>
    <row r="1172" spans="35:35" ht="13" x14ac:dyDescent="0.15">
      <c r="AI1172" s="21"/>
    </row>
    <row r="1173" spans="35:35" ht="13" x14ac:dyDescent="0.15">
      <c r="AI1173" s="21"/>
    </row>
    <row r="1174" spans="35:35" ht="13" x14ac:dyDescent="0.15">
      <c r="AI1174" s="21"/>
    </row>
    <row r="1175" spans="35:35" ht="13" x14ac:dyDescent="0.15">
      <c r="AI1175" s="21"/>
    </row>
    <row r="1176" spans="35:35" ht="13" x14ac:dyDescent="0.15">
      <c r="AI1176" s="21"/>
    </row>
    <row r="1177" spans="35:35" ht="13" x14ac:dyDescent="0.15">
      <c r="AI1177" s="21"/>
    </row>
    <row r="1178" spans="35:35" ht="13" x14ac:dyDescent="0.15">
      <c r="AI1178" s="21"/>
    </row>
    <row r="1179" spans="35:35" ht="13" x14ac:dyDescent="0.15">
      <c r="AI1179" s="21"/>
    </row>
    <row r="1180" spans="35:35" ht="13" x14ac:dyDescent="0.15">
      <c r="AI1180" s="21"/>
    </row>
    <row r="1181" spans="35:35" ht="13" x14ac:dyDescent="0.15">
      <c r="AI1181" s="21"/>
    </row>
    <row r="1182" spans="35:35" ht="13" x14ac:dyDescent="0.15">
      <c r="AI1182" s="21"/>
    </row>
    <row r="1183" spans="35:35" ht="13" x14ac:dyDescent="0.15">
      <c r="AI1183" s="21"/>
    </row>
    <row r="1184" spans="35:35" ht="13" x14ac:dyDescent="0.15">
      <c r="AI1184" s="21"/>
    </row>
    <row r="1185" spans="35:35" ht="13" x14ac:dyDescent="0.15">
      <c r="AI1185" s="21"/>
    </row>
    <row r="1186" spans="35:35" ht="13" x14ac:dyDescent="0.15">
      <c r="AI1186" s="21"/>
    </row>
    <row r="1187" spans="35:35" ht="13" x14ac:dyDescent="0.15">
      <c r="AI1187" s="21"/>
    </row>
    <row r="1188" spans="35:35" ht="13" x14ac:dyDescent="0.15">
      <c r="AI1188" s="21"/>
    </row>
    <row r="1189" spans="35:35" ht="13" x14ac:dyDescent="0.15">
      <c r="AI1189" s="21"/>
    </row>
    <row r="1190" spans="35:35" ht="13" x14ac:dyDescent="0.15">
      <c r="AI1190" s="21"/>
    </row>
    <row r="1191" spans="35:35" ht="13" x14ac:dyDescent="0.15">
      <c r="AI1191" s="21"/>
    </row>
    <row r="1192" spans="35:35" ht="13" x14ac:dyDescent="0.15">
      <c r="AI1192" s="21"/>
    </row>
    <row r="1193" spans="35:35" ht="13" x14ac:dyDescent="0.15">
      <c r="AI1193" s="21"/>
    </row>
    <row r="1194" spans="35:35" ht="13" x14ac:dyDescent="0.15">
      <c r="AI1194" s="21"/>
    </row>
    <row r="1195" spans="35:35" ht="13" x14ac:dyDescent="0.15">
      <c r="AI1195" s="21"/>
    </row>
    <row r="1196" spans="35:35" ht="13" x14ac:dyDescent="0.15">
      <c r="AI1196" s="21"/>
    </row>
    <row r="1197" spans="35:35" ht="13" x14ac:dyDescent="0.15">
      <c r="AI1197" s="21"/>
    </row>
    <row r="1198" spans="35:35" ht="13" x14ac:dyDescent="0.15">
      <c r="AI1198" s="21"/>
    </row>
    <row r="1199" spans="35:35" ht="13" x14ac:dyDescent="0.15">
      <c r="AI1199" s="21"/>
    </row>
    <row r="1200" spans="35:35" ht="13" x14ac:dyDescent="0.15">
      <c r="AI1200" s="21"/>
    </row>
    <row r="1201" spans="35:35" ht="13" x14ac:dyDescent="0.15">
      <c r="AI1201" s="21"/>
    </row>
    <row r="1202" spans="35:35" ht="13" x14ac:dyDescent="0.15">
      <c r="AI1202" s="21"/>
    </row>
    <row r="1203" spans="35:35" ht="13" x14ac:dyDescent="0.15">
      <c r="AI1203" s="21"/>
    </row>
    <row r="1204" spans="35:35" ht="13" x14ac:dyDescent="0.15">
      <c r="AI1204" s="21"/>
    </row>
    <row r="1205" spans="35:35" ht="13" x14ac:dyDescent="0.15">
      <c r="AI1205" s="21"/>
    </row>
    <row r="1206" spans="35:35" ht="13" x14ac:dyDescent="0.15">
      <c r="AI1206" s="21"/>
    </row>
    <row r="1207" spans="35:35" ht="13" x14ac:dyDescent="0.15">
      <c r="AI1207" s="21"/>
    </row>
    <row r="1208" spans="35:35" ht="13" x14ac:dyDescent="0.15">
      <c r="AI1208" s="21"/>
    </row>
    <row r="1209" spans="35:35" ht="13" x14ac:dyDescent="0.15">
      <c r="AI1209" s="21"/>
    </row>
    <row r="1210" spans="35:35" ht="13" x14ac:dyDescent="0.15">
      <c r="AI1210" s="21"/>
    </row>
    <row r="1211" spans="35:35" ht="13" x14ac:dyDescent="0.15">
      <c r="AI1211" s="21"/>
    </row>
    <row r="1212" spans="35:35" ht="13" x14ac:dyDescent="0.15">
      <c r="AI1212" s="21"/>
    </row>
    <row r="1213" spans="35:35" ht="13" x14ac:dyDescent="0.15">
      <c r="AI1213" s="21"/>
    </row>
    <row r="1214" spans="35:35" ht="13" x14ac:dyDescent="0.15">
      <c r="AI1214" s="21"/>
    </row>
    <row r="1215" spans="35:35" ht="13" x14ac:dyDescent="0.15">
      <c r="AI1215" s="21"/>
    </row>
    <row r="1216" spans="35:35" ht="13" x14ac:dyDescent="0.15">
      <c r="AI1216" s="21"/>
    </row>
    <row r="1217" spans="35:35" ht="13" x14ac:dyDescent="0.15">
      <c r="AI1217" s="21"/>
    </row>
    <row r="1218" spans="35:35" ht="13" x14ac:dyDescent="0.15">
      <c r="AI1218" s="21"/>
    </row>
    <row r="1219" spans="35:35" ht="13" x14ac:dyDescent="0.15">
      <c r="AI1219" s="21"/>
    </row>
    <row r="1220" spans="35:35" ht="13" x14ac:dyDescent="0.15">
      <c r="AI1220" s="21"/>
    </row>
    <row r="1221" spans="35:35" ht="13" x14ac:dyDescent="0.15">
      <c r="AI1221" s="21"/>
    </row>
    <row r="1222" spans="35:35" ht="13" x14ac:dyDescent="0.15">
      <c r="AI1222" s="21"/>
    </row>
    <row r="1223" spans="35:35" ht="13" x14ac:dyDescent="0.15">
      <c r="AI1223" s="21"/>
    </row>
    <row r="1224" spans="35:35" ht="13" x14ac:dyDescent="0.15">
      <c r="AI1224" s="21"/>
    </row>
    <row r="1225" spans="35:35" ht="13" x14ac:dyDescent="0.15">
      <c r="AI1225" s="21"/>
    </row>
    <row r="1226" spans="35:35" ht="13" x14ac:dyDescent="0.15">
      <c r="AI1226" s="21"/>
    </row>
    <row r="1227" spans="35:35" ht="13" x14ac:dyDescent="0.15">
      <c r="AI1227" s="21"/>
    </row>
    <row r="1228" spans="35:35" ht="13" x14ac:dyDescent="0.15">
      <c r="AI1228" s="21"/>
    </row>
    <row r="1229" spans="35:35" ht="13" x14ac:dyDescent="0.15">
      <c r="AI1229" s="21"/>
    </row>
    <row r="1230" spans="35:35" ht="13" x14ac:dyDescent="0.15">
      <c r="AI1230" s="21"/>
    </row>
    <row r="1231" spans="35:35" ht="13" x14ac:dyDescent="0.15">
      <c r="AI1231" s="21"/>
    </row>
    <row r="1232" spans="35:35" ht="13" x14ac:dyDescent="0.15">
      <c r="AI1232" s="21"/>
    </row>
    <row r="1233" spans="35:35" ht="13" x14ac:dyDescent="0.15">
      <c r="AI1233" s="21"/>
    </row>
    <row r="1234" spans="35:35" ht="13" x14ac:dyDescent="0.15">
      <c r="AI1234" s="21"/>
    </row>
    <row r="1235" spans="35:35" ht="13" x14ac:dyDescent="0.15">
      <c r="AI1235" s="21"/>
    </row>
    <row r="1236" spans="35:35" ht="13" x14ac:dyDescent="0.15">
      <c r="AI1236" s="21"/>
    </row>
    <row r="1237" spans="35:35" ht="13" x14ac:dyDescent="0.15">
      <c r="AI1237" s="21"/>
    </row>
    <row r="1238" spans="35:35" ht="13" x14ac:dyDescent="0.15">
      <c r="AI1238" s="21"/>
    </row>
    <row r="1239" spans="35:35" ht="13" x14ac:dyDescent="0.15">
      <c r="AI1239" s="21"/>
    </row>
    <row r="1240" spans="35:35" ht="13" x14ac:dyDescent="0.15">
      <c r="AI1240" s="21"/>
    </row>
    <row r="1241" spans="35:35" ht="13" x14ac:dyDescent="0.15">
      <c r="AI1241" s="21"/>
    </row>
    <row r="1242" spans="35:35" ht="13" x14ac:dyDescent="0.15">
      <c r="AI1242" s="21"/>
    </row>
    <row r="1243" spans="35:35" ht="13" x14ac:dyDescent="0.15">
      <c r="AI1243" s="21"/>
    </row>
    <row r="1244" spans="35:35" ht="13" x14ac:dyDescent="0.15">
      <c r="AI1244" s="21"/>
    </row>
    <row r="1245" spans="35:35" ht="13" x14ac:dyDescent="0.15">
      <c r="AI1245" s="21"/>
    </row>
    <row r="1246" spans="35:35" ht="13" x14ac:dyDescent="0.15">
      <c r="AI1246" s="21"/>
    </row>
    <row r="1247" spans="35:35" ht="13" x14ac:dyDescent="0.15">
      <c r="AI1247" s="21"/>
    </row>
    <row r="1248" spans="35:35" ht="13" x14ac:dyDescent="0.15">
      <c r="AI1248" s="21"/>
    </row>
    <row r="1249" spans="35:35" ht="13" x14ac:dyDescent="0.15">
      <c r="AI1249" s="21"/>
    </row>
    <row r="1250" spans="35:35" ht="13" x14ac:dyDescent="0.15">
      <c r="AI1250" s="21"/>
    </row>
    <row r="1251" spans="35:35" ht="13" x14ac:dyDescent="0.15">
      <c r="AI1251" s="21"/>
    </row>
    <row r="1252" spans="35:35" ht="13" x14ac:dyDescent="0.15">
      <c r="AI1252" s="21"/>
    </row>
    <row r="1253" spans="35:35" ht="13" x14ac:dyDescent="0.15">
      <c r="AI1253" s="21"/>
    </row>
    <row r="1254" spans="35:35" ht="13" x14ac:dyDescent="0.15">
      <c r="AI1254" s="21"/>
    </row>
    <row r="1255" spans="35:35" ht="13" x14ac:dyDescent="0.15">
      <c r="AI1255" s="21"/>
    </row>
    <row r="1256" spans="35:35" ht="13" x14ac:dyDescent="0.15">
      <c r="AI1256" s="21"/>
    </row>
    <row r="1257" spans="35:35" ht="13" x14ac:dyDescent="0.15">
      <c r="AI1257" s="21"/>
    </row>
    <row r="1258" spans="35:35" ht="13" x14ac:dyDescent="0.15">
      <c r="AI1258" s="21"/>
    </row>
    <row r="1259" spans="35:35" ht="13" x14ac:dyDescent="0.15">
      <c r="AI1259" s="21"/>
    </row>
    <row r="1260" spans="35:35" ht="13" x14ac:dyDescent="0.15">
      <c r="AI1260" s="21"/>
    </row>
    <row r="1261" spans="35:35" ht="13" x14ac:dyDescent="0.15">
      <c r="AI1261" s="21"/>
    </row>
    <row r="1262" spans="35:35" ht="13" x14ac:dyDescent="0.15">
      <c r="AI1262" s="21"/>
    </row>
    <row r="1263" spans="35:35" ht="13" x14ac:dyDescent="0.15">
      <c r="AI1263" s="21"/>
    </row>
    <row r="1264" spans="35:35" ht="13" x14ac:dyDescent="0.15">
      <c r="AI1264" s="21"/>
    </row>
    <row r="1265" spans="35:35" ht="13" x14ac:dyDescent="0.15">
      <c r="AI1265" s="21"/>
    </row>
    <row r="1266" spans="35:35" ht="13" x14ac:dyDescent="0.15">
      <c r="AI1266" s="21"/>
    </row>
    <row r="1267" spans="35:35" ht="13" x14ac:dyDescent="0.15">
      <c r="AI1267" s="21"/>
    </row>
    <row r="1268" spans="35:35" ht="13" x14ac:dyDescent="0.15">
      <c r="AI1268" s="21"/>
    </row>
    <row r="1269" spans="35:35" ht="13" x14ac:dyDescent="0.15">
      <c r="AI1269" s="21"/>
    </row>
    <row r="1270" spans="35:35" ht="13" x14ac:dyDescent="0.15">
      <c r="AI1270" s="21"/>
    </row>
    <row r="1271" spans="35:35" ht="13" x14ac:dyDescent="0.15">
      <c r="AI1271" s="21"/>
    </row>
    <row r="1272" spans="35:35" ht="13" x14ac:dyDescent="0.15">
      <c r="AI1272" s="21"/>
    </row>
    <row r="1273" spans="35:35" ht="13" x14ac:dyDescent="0.15">
      <c r="AI1273" s="21"/>
    </row>
    <row r="1274" spans="35:35" ht="13" x14ac:dyDescent="0.15">
      <c r="AI1274" s="21"/>
    </row>
    <row r="1275" spans="35:35" ht="13" x14ac:dyDescent="0.15">
      <c r="AI1275" s="21"/>
    </row>
    <row r="1276" spans="35:35" ht="13" x14ac:dyDescent="0.15">
      <c r="AI1276" s="21"/>
    </row>
    <row r="1277" spans="35:35" ht="13" x14ac:dyDescent="0.15">
      <c r="AI1277" s="21"/>
    </row>
    <row r="1278" spans="35:35" ht="13" x14ac:dyDescent="0.15">
      <c r="AI1278" s="21"/>
    </row>
    <row r="1279" spans="35:35" ht="13" x14ac:dyDescent="0.15">
      <c r="AI1279" s="21"/>
    </row>
    <row r="1280" spans="35:35" ht="13" x14ac:dyDescent="0.15">
      <c r="AI1280" s="21"/>
    </row>
    <row r="1281" spans="35:35" ht="13" x14ac:dyDescent="0.15">
      <c r="AI1281" s="21"/>
    </row>
    <row r="1282" spans="35:35" ht="13" x14ac:dyDescent="0.15">
      <c r="AI1282" s="21"/>
    </row>
    <row r="1283" spans="35:35" ht="13" x14ac:dyDescent="0.15">
      <c r="AI1283" s="21"/>
    </row>
    <row r="1284" spans="35:35" ht="13" x14ac:dyDescent="0.15">
      <c r="AI1284" s="21"/>
    </row>
    <row r="1285" spans="35:35" ht="13" x14ac:dyDescent="0.15">
      <c r="AI1285" s="21"/>
    </row>
    <row r="1286" spans="35:35" ht="13" x14ac:dyDescent="0.15">
      <c r="AI1286" s="21"/>
    </row>
    <row r="1287" spans="35:35" ht="13" x14ac:dyDescent="0.15">
      <c r="AI1287" s="21"/>
    </row>
    <row r="1288" spans="35:35" ht="13" x14ac:dyDescent="0.15">
      <c r="AI1288" s="21"/>
    </row>
    <row r="1289" spans="35:35" ht="13" x14ac:dyDescent="0.15">
      <c r="AI1289" s="21"/>
    </row>
    <row r="1290" spans="35:35" ht="13" x14ac:dyDescent="0.15">
      <c r="AI1290" s="21"/>
    </row>
    <row r="1291" spans="35:35" ht="13" x14ac:dyDescent="0.15">
      <c r="AI1291" s="21"/>
    </row>
    <row r="1292" spans="35:35" ht="13" x14ac:dyDescent="0.15">
      <c r="AI1292" s="21"/>
    </row>
    <row r="1293" spans="35:35" ht="13" x14ac:dyDescent="0.15">
      <c r="AI1293" s="21"/>
    </row>
    <row r="1294" spans="35:35" ht="13" x14ac:dyDescent="0.15">
      <c r="AI1294" s="21"/>
    </row>
    <row r="1295" spans="35:35" ht="13" x14ac:dyDescent="0.15">
      <c r="AI1295" s="21"/>
    </row>
    <row r="1296" spans="35:35" ht="13" x14ac:dyDescent="0.15">
      <c r="AI1296" s="21"/>
    </row>
    <row r="1297" spans="35:35" ht="13" x14ac:dyDescent="0.15">
      <c r="AI1297" s="21"/>
    </row>
    <row r="1298" spans="35:35" ht="13" x14ac:dyDescent="0.15">
      <c r="AI1298" s="21"/>
    </row>
    <row r="1299" spans="35:35" ht="13" x14ac:dyDescent="0.15">
      <c r="AI1299" s="21"/>
    </row>
    <row r="1300" spans="35:35" ht="13" x14ac:dyDescent="0.15">
      <c r="AI1300" s="21"/>
    </row>
    <row r="1301" spans="35:35" ht="13" x14ac:dyDescent="0.15">
      <c r="AI1301" s="21"/>
    </row>
    <row r="1302" spans="35:35" ht="13" x14ac:dyDescent="0.15">
      <c r="AI1302" s="21"/>
    </row>
    <row r="1303" spans="35:35" ht="13" x14ac:dyDescent="0.15">
      <c r="AI1303" s="21"/>
    </row>
    <row r="1304" spans="35:35" ht="13" x14ac:dyDescent="0.15">
      <c r="AI1304" s="21"/>
    </row>
    <row r="1305" spans="35:35" ht="13" x14ac:dyDescent="0.15">
      <c r="AI1305" s="21"/>
    </row>
    <row r="1306" spans="35:35" ht="13" x14ac:dyDescent="0.15">
      <c r="AI1306" s="21"/>
    </row>
    <row r="1307" spans="35:35" ht="13" x14ac:dyDescent="0.15">
      <c r="AI1307" s="21"/>
    </row>
    <row r="1308" spans="35:35" ht="13" x14ac:dyDescent="0.15">
      <c r="AI1308" s="21"/>
    </row>
    <row r="1309" spans="35:35" ht="13" x14ac:dyDescent="0.15">
      <c r="AI1309" s="21"/>
    </row>
    <row r="1310" spans="35:35" ht="13" x14ac:dyDescent="0.15">
      <c r="AI1310" s="21"/>
    </row>
    <row r="1311" spans="35:35" ht="13" x14ac:dyDescent="0.15">
      <c r="AI1311" s="21"/>
    </row>
    <row r="1312" spans="35:35" ht="13" x14ac:dyDescent="0.15">
      <c r="AI1312" s="21"/>
    </row>
    <row r="1313" spans="35:35" ht="13" x14ac:dyDescent="0.15">
      <c r="AI1313" s="21"/>
    </row>
    <row r="1314" spans="35:35" ht="13" x14ac:dyDescent="0.15">
      <c r="AI1314" s="21"/>
    </row>
    <row r="1315" spans="35:35" ht="13" x14ac:dyDescent="0.15">
      <c r="AI1315" s="21"/>
    </row>
    <row r="1316" spans="35:35" ht="13" x14ac:dyDescent="0.15">
      <c r="AI1316" s="21"/>
    </row>
    <row r="1317" spans="35:35" ht="13" x14ac:dyDescent="0.15">
      <c r="AI1317" s="21"/>
    </row>
    <row r="1318" spans="35:35" ht="13" x14ac:dyDescent="0.15">
      <c r="AI1318" s="21"/>
    </row>
    <row r="1319" spans="35:35" ht="13" x14ac:dyDescent="0.15">
      <c r="AI1319" s="21"/>
    </row>
    <row r="1320" spans="35:35" ht="13" x14ac:dyDescent="0.15">
      <c r="AI1320" s="21"/>
    </row>
    <row r="1321" spans="35:35" ht="13" x14ac:dyDescent="0.15">
      <c r="AI1321" s="21"/>
    </row>
    <row r="1322" spans="35:35" ht="13" x14ac:dyDescent="0.15">
      <c r="AI1322" s="21"/>
    </row>
    <row r="1323" spans="35:35" ht="13" x14ac:dyDescent="0.15">
      <c r="AI1323" s="21"/>
    </row>
    <row r="1324" spans="35:35" ht="13" x14ac:dyDescent="0.15">
      <c r="AI1324" s="21"/>
    </row>
    <row r="1325" spans="35:35" ht="13" x14ac:dyDescent="0.15">
      <c r="AI1325" s="21"/>
    </row>
    <row r="1326" spans="35:35" ht="13" x14ac:dyDescent="0.15">
      <c r="AI1326" s="21"/>
    </row>
    <row r="1327" spans="35:35" ht="13" x14ac:dyDescent="0.15">
      <c r="AI1327" s="21"/>
    </row>
    <row r="1328" spans="35:35" ht="13" x14ac:dyDescent="0.15">
      <c r="AI1328" s="21"/>
    </row>
    <row r="1329" spans="35:35" ht="13" x14ac:dyDescent="0.15">
      <c r="AI1329" s="21"/>
    </row>
    <row r="1330" spans="35:35" ht="13" x14ac:dyDescent="0.15">
      <c r="AI1330" s="21"/>
    </row>
    <row r="1331" spans="35:35" ht="13" x14ac:dyDescent="0.15">
      <c r="AI1331" s="21"/>
    </row>
    <row r="1332" spans="35:35" ht="13" x14ac:dyDescent="0.15">
      <c r="AI1332" s="21"/>
    </row>
    <row r="1333" spans="35:35" ht="13" x14ac:dyDescent="0.15">
      <c r="AI1333" s="21"/>
    </row>
    <row r="1334" spans="35:35" ht="13" x14ac:dyDescent="0.15">
      <c r="AI1334" s="21"/>
    </row>
    <row r="1335" spans="35:35" ht="13" x14ac:dyDescent="0.15">
      <c r="AI1335" s="21"/>
    </row>
    <row r="1336" spans="35:35" ht="13" x14ac:dyDescent="0.15">
      <c r="AI1336" s="21"/>
    </row>
    <row r="1337" spans="35:35" ht="13" x14ac:dyDescent="0.15">
      <c r="AI1337" s="21"/>
    </row>
    <row r="1338" spans="35:35" ht="13" x14ac:dyDescent="0.15">
      <c r="AI1338" s="21"/>
    </row>
    <row r="1339" spans="35:35" ht="13" x14ac:dyDescent="0.15">
      <c r="AI1339" s="21"/>
    </row>
    <row r="1340" spans="35:35" ht="13" x14ac:dyDescent="0.15">
      <c r="AI1340" s="21"/>
    </row>
    <row r="1341" spans="35:35" ht="13" x14ac:dyDescent="0.15">
      <c r="AI1341" s="21"/>
    </row>
    <row r="1342" spans="35:35" ht="13" x14ac:dyDescent="0.15">
      <c r="AI1342" s="21"/>
    </row>
    <row r="1343" spans="35:35" ht="13" x14ac:dyDescent="0.15">
      <c r="AI1343" s="21"/>
    </row>
    <row r="1344" spans="35:35" ht="13" x14ac:dyDescent="0.15">
      <c r="AI1344" s="21"/>
    </row>
    <row r="1345" spans="35:35" ht="13" x14ac:dyDescent="0.15">
      <c r="AI1345" s="21"/>
    </row>
    <row r="1346" spans="35:35" ht="13" x14ac:dyDescent="0.15">
      <c r="AI1346" s="21"/>
    </row>
    <row r="1347" spans="35:35" ht="13" x14ac:dyDescent="0.15">
      <c r="AI1347" s="21"/>
    </row>
    <row r="1348" spans="35:35" ht="13" x14ac:dyDescent="0.15">
      <c r="AI1348" s="21"/>
    </row>
    <row r="1349" spans="35:35" ht="13" x14ac:dyDescent="0.15">
      <c r="AI1349" s="21"/>
    </row>
    <row r="1350" spans="35:35" ht="13" x14ac:dyDescent="0.15">
      <c r="AI1350" s="21"/>
    </row>
    <row r="1351" spans="35:35" ht="13" x14ac:dyDescent="0.15">
      <c r="AI1351" s="21"/>
    </row>
    <row r="1352" spans="35:35" ht="13" x14ac:dyDescent="0.15">
      <c r="AI1352" s="21"/>
    </row>
    <row r="1353" spans="35:35" ht="13" x14ac:dyDescent="0.15">
      <c r="AI1353" s="21"/>
    </row>
    <row r="1354" spans="35:35" ht="13" x14ac:dyDescent="0.15">
      <c r="AI1354" s="21"/>
    </row>
    <row r="1355" spans="35:35" ht="13" x14ac:dyDescent="0.15">
      <c r="AI1355" s="21"/>
    </row>
    <row r="1356" spans="35:35" ht="13" x14ac:dyDescent="0.15">
      <c r="AI1356" s="21"/>
    </row>
    <row r="1357" spans="35:35" ht="13" x14ac:dyDescent="0.15">
      <c r="AI1357" s="21"/>
    </row>
    <row r="1358" spans="35:35" ht="13" x14ac:dyDescent="0.15">
      <c r="AI1358" s="21"/>
    </row>
    <row r="1359" spans="35:35" ht="13" x14ac:dyDescent="0.15">
      <c r="AI1359" s="21"/>
    </row>
    <row r="1360" spans="35:35" ht="13" x14ac:dyDescent="0.15">
      <c r="AI1360" s="21"/>
    </row>
    <row r="1361" spans="35:35" ht="13" x14ac:dyDescent="0.15">
      <c r="AI1361" s="21"/>
    </row>
    <row r="1362" spans="35:35" ht="13" x14ac:dyDescent="0.15">
      <c r="AI1362" s="21"/>
    </row>
    <row r="1363" spans="35:35" ht="13" x14ac:dyDescent="0.15">
      <c r="AI1363" s="21"/>
    </row>
    <row r="1364" spans="35:35" ht="13" x14ac:dyDescent="0.15">
      <c r="AI1364" s="21"/>
    </row>
    <row r="1365" spans="35:35" ht="13" x14ac:dyDescent="0.15">
      <c r="AI1365" s="21"/>
    </row>
    <row r="1366" spans="35:35" ht="13" x14ac:dyDescent="0.15">
      <c r="AI1366" s="21"/>
    </row>
    <row r="1367" spans="35:35" ht="13" x14ac:dyDescent="0.15">
      <c r="AI1367" s="21"/>
    </row>
    <row r="1368" spans="35:35" ht="13" x14ac:dyDescent="0.15">
      <c r="AI1368" s="21"/>
    </row>
    <row r="1369" spans="35:35" ht="13" x14ac:dyDescent="0.15">
      <c r="AI1369" s="21"/>
    </row>
    <row r="1370" spans="35:35" ht="13" x14ac:dyDescent="0.15">
      <c r="AI1370" s="21"/>
    </row>
    <row r="1371" spans="35:35" ht="13" x14ac:dyDescent="0.15">
      <c r="AI1371" s="21"/>
    </row>
    <row r="1372" spans="35:35" ht="13" x14ac:dyDescent="0.15">
      <c r="AI1372" s="21"/>
    </row>
    <row r="1373" spans="35:35" ht="13" x14ac:dyDescent="0.15">
      <c r="AI1373" s="21"/>
    </row>
    <row r="1374" spans="35:35" ht="13" x14ac:dyDescent="0.15">
      <c r="AI1374" s="21"/>
    </row>
    <row r="1375" spans="35:35" ht="13" x14ac:dyDescent="0.15">
      <c r="AI1375" s="21"/>
    </row>
    <row r="1376" spans="35:35" ht="13" x14ac:dyDescent="0.15">
      <c r="AI1376" s="21"/>
    </row>
    <row r="1377" spans="35:35" ht="13" x14ac:dyDescent="0.15">
      <c r="AI1377" s="21"/>
    </row>
    <row r="1378" spans="35:35" ht="13" x14ac:dyDescent="0.15">
      <c r="AI1378" s="21"/>
    </row>
    <row r="1379" spans="35:35" ht="13" x14ac:dyDescent="0.15">
      <c r="AI1379" s="21"/>
    </row>
    <row r="1380" spans="35:35" ht="13" x14ac:dyDescent="0.15">
      <c r="AI1380" s="21"/>
    </row>
    <row r="1381" spans="35:35" ht="13" x14ac:dyDescent="0.15">
      <c r="AI1381" s="21"/>
    </row>
    <row r="1382" spans="35:35" ht="13" x14ac:dyDescent="0.15">
      <c r="AI1382" s="21"/>
    </row>
    <row r="1383" spans="35:35" ht="13" x14ac:dyDescent="0.15">
      <c r="AI1383" s="21"/>
    </row>
    <row r="1384" spans="35:35" ht="13" x14ac:dyDescent="0.15">
      <c r="AI1384" s="21"/>
    </row>
    <row r="1385" spans="35:35" ht="13" x14ac:dyDescent="0.15">
      <c r="AI1385" s="21"/>
    </row>
    <row r="1386" spans="35:35" ht="13" x14ac:dyDescent="0.15">
      <c r="AI1386" s="21"/>
    </row>
    <row r="1387" spans="35:35" ht="13" x14ac:dyDescent="0.15">
      <c r="AI1387" s="21"/>
    </row>
    <row r="1388" spans="35:35" ht="13" x14ac:dyDescent="0.15">
      <c r="AI1388" s="21"/>
    </row>
    <row r="1389" spans="35:35" ht="13" x14ac:dyDescent="0.15">
      <c r="AI1389" s="21"/>
    </row>
    <row r="1390" spans="35:35" ht="13" x14ac:dyDescent="0.15">
      <c r="AI1390" s="21"/>
    </row>
    <row r="1391" spans="35:35" ht="13" x14ac:dyDescent="0.15">
      <c r="AI1391" s="21"/>
    </row>
    <row r="1392" spans="35:35" ht="13" x14ac:dyDescent="0.15">
      <c r="AI1392" s="21"/>
    </row>
    <row r="1393" spans="35:35" ht="13" x14ac:dyDescent="0.15">
      <c r="AI1393" s="21"/>
    </row>
    <row r="1394" spans="35:35" ht="13" x14ac:dyDescent="0.15">
      <c r="AI1394" s="21"/>
    </row>
    <row r="1395" spans="35:35" ht="13" x14ac:dyDescent="0.15">
      <c r="AI1395" s="21"/>
    </row>
    <row r="1396" spans="35:35" ht="13" x14ac:dyDescent="0.15">
      <c r="AI1396" s="21"/>
    </row>
    <row r="1397" spans="35:35" ht="13" x14ac:dyDescent="0.15">
      <c r="AI1397" s="21"/>
    </row>
    <row r="1398" spans="35:35" ht="13" x14ac:dyDescent="0.15">
      <c r="AI1398" s="21"/>
    </row>
    <row r="1399" spans="35:35" ht="13" x14ac:dyDescent="0.15">
      <c r="AI1399" s="21"/>
    </row>
    <row r="1400" spans="35:35" ht="13" x14ac:dyDescent="0.15">
      <c r="AI1400" s="21"/>
    </row>
    <row r="1401" spans="35:35" ht="13" x14ac:dyDescent="0.15">
      <c r="AI1401" s="21"/>
    </row>
    <row r="1402" spans="35:35" ht="13" x14ac:dyDescent="0.15">
      <c r="AI1402" s="21"/>
    </row>
    <row r="1403" spans="35:35" ht="13" x14ac:dyDescent="0.15">
      <c r="AI1403" s="21"/>
    </row>
    <row r="1404" spans="35:35" ht="13" x14ac:dyDescent="0.15">
      <c r="AI1404" s="21"/>
    </row>
  </sheetData>
  <autoFilter ref="A3:AS575" xr:uid="{00000000-0009-0000-0000-000003000000}">
    <sortState xmlns:xlrd2="http://schemas.microsoft.com/office/spreadsheetml/2017/richdata2" ref="A3:AS575">
      <sortCondition ref="A3:A575"/>
    </sortState>
  </autoFilter>
  <mergeCells count="6">
    <mergeCell ref="AF1:AH1"/>
    <mergeCell ref="F1:I1"/>
    <mergeCell ref="J1:N1"/>
    <mergeCell ref="O1:T1"/>
    <mergeCell ref="V1:Y1"/>
    <mergeCell ref="AB1:AE1"/>
  </mergeCells>
  <conditionalFormatting sqref="E4:E1642">
    <cfRule type="expression" dxfId="0" priority="1">
      <formula>IF(VALUE(SUBSTITUTE($AD4:$AD1642, "-",":")) &gt; VALUE(SUBSTITUTE($AH4:$AH1642, "-",":")),"Да","Нет")="Да"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A9"/>
  <sheetViews>
    <sheetView workbookViewId="0"/>
  </sheetViews>
  <sheetFormatPr baseColWidth="10" defaultColWidth="14.5" defaultRowHeight="15.75" customHeight="1" x14ac:dyDescent="0.15"/>
  <cols>
    <col min="1" max="1" width="105.33203125" customWidth="1"/>
  </cols>
  <sheetData>
    <row r="2" spans="1:1" ht="15.75" customHeight="1" x14ac:dyDescent="0.15">
      <c r="A2" s="26" t="s">
        <v>36</v>
      </c>
    </row>
    <row r="3" spans="1:1" ht="15.75" customHeight="1" x14ac:dyDescent="0.15">
      <c r="A3" s="18" t="s">
        <v>37</v>
      </c>
    </row>
    <row r="4" spans="1:1" ht="15.75" customHeight="1" x14ac:dyDescent="0.15">
      <c r="A4" s="18" t="s">
        <v>38</v>
      </c>
    </row>
    <row r="5" spans="1:1" ht="15.75" customHeight="1" x14ac:dyDescent="0.15">
      <c r="A5" s="18" t="s">
        <v>39</v>
      </c>
    </row>
    <row r="6" spans="1:1" ht="15.75" customHeight="1" x14ac:dyDescent="0.15">
      <c r="A6" s="18" t="s">
        <v>40</v>
      </c>
    </row>
    <row r="7" spans="1:1" ht="15.75" customHeight="1" x14ac:dyDescent="0.15">
      <c r="A7" s="18" t="s">
        <v>41</v>
      </c>
    </row>
    <row r="8" spans="1:1" ht="15.75" customHeight="1" x14ac:dyDescent="0.15">
      <c r="A8" s="18" t="s">
        <v>42</v>
      </c>
    </row>
    <row r="9" spans="1:1" ht="15.75" customHeight="1" x14ac:dyDescent="0.15">
      <c r="A9" s="18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2" max="2" width="63.6640625" customWidth="1"/>
    <col min="3" max="3" width="98.1640625" customWidth="1"/>
  </cols>
  <sheetData>
    <row r="1" spans="1:4" ht="13" x14ac:dyDescent="0.15">
      <c r="A1" s="18" t="s">
        <v>44</v>
      </c>
      <c r="B1" s="18" t="s">
        <v>45</v>
      </c>
      <c r="C1" s="18" t="s">
        <v>46</v>
      </c>
      <c r="D1" s="18" t="s">
        <v>47</v>
      </c>
    </row>
    <row r="2" spans="1:4" ht="14" x14ac:dyDescent="0.15">
      <c r="A2" s="28">
        <v>4</v>
      </c>
      <c r="B2" s="29" t="s">
        <v>48</v>
      </c>
      <c r="C2" s="18" t="s">
        <v>49</v>
      </c>
    </row>
    <row r="3" spans="1:4" ht="13" hidden="1" x14ac:dyDescent="0.15">
      <c r="A3" s="27"/>
      <c r="B3" s="29" t="s">
        <v>50</v>
      </c>
      <c r="C3" s="18" t="s">
        <v>51</v>
      </c>
    </row>
    <row r="4" spans="1:4" ht="14" x14ac:dyDescent="0.15">
      <c r="A4" s="28">
        <v>24</v>
      </c>
      <c r="B4" s="29" t="s">
        <v>52</v>
      </c>
      <c r="C4" s="18" t="s">
        <v>53</v>
      </c>
    </row>
    <row r="5" spans="1:4" ht="13" hidden="1" x14ac:dyDescent="0.15">
      <c r="A5" s="27"/>
      <c r="B5" s="29" t="s">
        <v>54</v>
      </c>
      <c r="C5" s="18" t="s">
        <v>55</v>
      </c>
    </row>
    <row r="6" spans="1:4" ht="13" hidden="1" x14ac:dyDescent="0.15">
      <c r="A6" s="27"/>
      <c r="B6" s="29" t="s">
        <v>56</v>
      </c>
      <c r="C6" s="18" t="s">
        <v>57</v>
      </c>
    </row>
    <row r="7" spans="1:4" ht="13" hidden="1" x14ac:dyDescent="0.15">
      <c r="A7" s="27"/>
      <c r="B7" s="29" t="s">
        <v>58</v>
      </c>
      <c r="C7" s="18" t="s">
        <v>59</v>
      </c>
    </row>
    <row r="8" spans="1:4" ht="13" hidden="1" x14ac:dyDescent="0.15">
      <c r="A8" s="27"/>
      <c r="B8" s="29" t="s">
        <v>60</v>
      </c>
      <c r="C8" s="18" t="s">
        <v>61</v>
      </c>
    </row>
    <row r="9" spans="1:4" ht="13" hidden="1" x14ac:dyDescent="0.15">
      <c r="A9" s="27"/>
      <c r="B9" s="29" t="s">
        <v>62</v>
      </c>
      <c r="C9" s="18" t="s">
        <v>63</v>
      </c>
    </row>
    <row r="10" spans="1:4" ht="14" x14ac:dyDescent="0.15">
      <c r="A10" s="28">
        <v>21</v>
      </c>
      <c r="B10" s="29" t="s">
        <v>64</v>
      </c>
      <c r="C10" s="18" t="s">
        <v>65</v>
      </c>
    </row>
    <row r="11" spans="1:4" ht="14" x14ac:dyDescent="0.15">
      <c r="A11" s="28">
        <v>5</v>
      </c>
      <c r="B11" s="29" t="s">
        <v>66</v>
      </c>
      <c r="C11" s="18" t="s">
        <v>67</v>
      </c>
    </row>
    <row r="12" spans="1:4" ht="13" hidden="1" x14ac:dyDescent="0.15">
      <c r="A12" s="27"/>
      <c r="B12" s="29" t="s">
        <v>68</v>
      </c>
    </row>
    <row r="13" spans="1:4" ht="13" hidden="1" x14ac:dyDescent="0.15">
      <c r="A13" s="27"/>
      <c r="B13" s="29" t="s">
        <v>69</v>
      </c>
    </row>
    <row r="14" spans="1:4" ht="13" hidden="1" x14ac:dyDescent="0.15">
      <c r="A14" s="27"/>
      <c r="B14" s="29" t="s">
        <v>70</v>
      </c>
    </row>
    <row r="15" spans="1:4" ht="13" hidden="1" x14ac:dyDescent="0.15">
      <c r="A15" s="27"/>
      <c r="B15" s="29" t="s">
        <v>71</v>
      </c>
    </row>
    <row r="16" spans="1:4" ht="14" x14ac:dyDescent="0.15">
      <c r="A16" s="28">
        <v>6.7</v>
      </c>
      <c r="B16" s="29" t="s">
        <v>72</v>
      </c>
      <c r="C16" s="18" t="s">
        <v>73</v>
      </c>
    </row>
    <row r="17" spans="1:3" ht="14" x14ac:dyDescent="0.15">
      <c r="A17" s="28">
        <v>15.16</v>
      </c>
      <c r="B17" s="29" t="s">
        <v>74</v>
      </c>
      <c r="C17" s="18" t="s">
        <v>75</v>
      </c>
    </row>
    <row r="18" spans="1:3" ht="14" x14ac:dyDescent="0.15">
      <c r="A18" s="28">
        <v>9</v>
      </c>
      <c r="B18" s="29" t="s">
        <v>76</v>
      </c>
      <c r="C18" s="18" t="s">
        <v>77</v>
      </c>
    </row>
    <row r="19" spans="1:3" ht="13" hidden="1" x14ac:dyDescent="0.15">
      <c r="A19" s="27"/>
      <c r="B19" s="29" t="s">
        <v>78</v>
      </c>
      <c r="C19" s="18" t="s">
        <v>79</v>
      </c>
    </row>
    <row r="20" spans="1:3" ht="14" x14ac:dyDescent="0.15">
      <c r="A20" s="28">
        <v>13</v>
      </c>
      <c r="B20" s="29" t="s">
        <v>80</v>
      </c>
      <c r="C20" s="18" t="s">
        <v>81</v>
      </c>
    </row>
    <row r="21" spans="1:3" ht="14" x14ac:dyDescent="0.15">
      <c r="A21" s="28">
        <v>11.12</v>
      </c>
      <c r="B21" s="29" t="s">
        <v>82</v>
      </c>
      <c r="C21" s="18" t="s">
        <v>83</v>
      </c>
    </row>
    <row r="22" spans="1:3" ht="14" x14ac:dyDescent="0.15">
      <c r="A22" s="28">
        <v>14</v>
      </c>
      <c r="B22" s="29" t="s">
        <v>84</v>
      </c>
      <c r="C22" s="18" t="s">
        <v>85</v>
      </c>
    </row>
    <row r="23" spans="1:3" ht="13" hidden="1" x14ac:dyDescent="0.15">
      <c r="A23" s="27"/>
      <c r="B23" s="29" t="s">
        <v>86</v>
      </c>
      <c r="C23" s="18" t="s">
        <v>87</v>
      </c>
    </row>
    <row r="24" spans="1:3" ht="14" x14ac:dyDescent="0.15">
      <c r="A24" s="28">
        <v>10</v>
      </c>
      <c r="B24" s="29" t="s">
        <v>88</v>
      </c>
      <c r="C24" s="29" t="s">
        <v>88</v>
      </c>
    </row>
    <row r="25" spans="1:3" ht="13" hidden="1" x14ac:dyDescent="0.15">
      <c r="A25" s="27"/>
      <c r="B25" s="30" t="s">
        <v>89</v>
      </c>
    </row>
    <row r="26" spans="1:3" ht="13" hidden="1" x14ac:dyDescent="0.15">
      <c r="A26" s="27"/>
      <c r="B26" s="29" t="s">
        <v>90</v>
      </c>
      <c r="C26" s="18" t="s">
        <v>91</v>
      </c>
    </row>
    <row r="27" spans="1:3" ht="13" hidden="1" x14ac:dyDescent="0.15">
      <c r="A27" s="27"/>
      <c r="B27" s="29" t="s">
        <v>92</v>
      </c>
      <c r="C27" s="18" t="s">
        <v>93</v>
      </c>
    </row>
    <row r="28" spans="1:3" ht="13" hidden="1" x14ac:dyDescent="0.15">
      <c r="A28" s="27"/>
      <c r="B28" s="29" t="s">
        <v>94</v>
      </c>
      <c r="C28" s="18" t="s">
        <v>95</v>
      </c>
    </row>
    <row r="29" spans="1:3" ht="13" hidden="1" x14ac:dyDescent="0.15">
      <c r="A29" s="27"/>
      <c r="B29" s="29" t="s">
        <v>96</v>
      </c>
      <c r="C29" s="18" t="s">
        <v>97</v>
      </c>
    </row>
    <row r="30" spans="1:3" ht="13" hidden="1" x14ac:dyDescent="0.15">
      <c r="A30" s="27"/>
      <c r="B30" s="29" t="s">
        <v>98</v>
      </c>
      <c r="C30" s="18" t="s">
        <v>99</v>
      </c>
    </row>
    <row r="31" spans="1:3" ht="13" hidden="1" x14ac:dyDescent="0.15">
      <c r="A31" s="27"/>
      <c r="B31" s="29" t="s">
        <v>74</v>
      </c>
      <c r="C31" s="18" t="s">
        <v>100</v>
      </c>
    </row>
    <row r="32" spans="1:3" ht="14" x14ac:dyDescent="0.15">
      <c r="A32" s="28">
        <v>20</v>
      </c>
      <c r="B32" s="29" t="s">
        <v>101</v>
      </c>
      <c r="C32" s="18" t="s">
        <v>102</v>
      </c>
    </row>
    <row r="33" spans="1:3" ht="13" hidden="1" x14ac:dyDescent="0.15">
      <c r="A33" s="27"/>
      <c r="B33" s="29" t="s">
        <v>76</v>
      </c>
      <c r="C33" s="18" t="s">
        <v>103</v>
      </c>
    </row>
    <row r="34" spans="1:3" ht="13" hidden="1" x14ac:dyDescent="0.15">
      <c r="A34" s="27"/>
      <c r="B34" s="30" t="s">
        <v>104</v>
      </c>
    </row>
    <row r="35" spans="1:3" ht="13" hidden="1" x14ac:dyDescent="0.15">
      <c r="A35" s="27"/>
      <c r="B35" s="29" t="s">
        <v>105</v>
      </c>
      <c r="C35" s="18" t="s">
        <v>106</v>
      </c>
    </row>
    <row r="36" spans="1:3" ht="13" hidden="1" x14ac:dyDescent="0.15">
      <c r="A36" s="27"/>
      <c r="B36" s="29" t="s">
        <v>107</v>
      </c>
      <c r="C36" s="18" t="s">
        <v>108</v>
      </c>
    </row>
    <row r="37" spans="1:3" ht="13" hidden="1" x14ac:dyDescent="0.15">
      <c r="A37" s="27"/>
      <c r="B37" s="29" t="s">
        <v>109</v>
      </c>
      <c r="C37" s="18" t="s">
        <v>110</v>
      </c>
    </row>
    <row r="38" spans="1:3" ht="14" x14ac:dyDescent="0.15">
      <c r="A38" s="28">
        <v>19</v>
      </c>
      <c r="B38" s="29" t="s">
        <v>111</v>
      </c>
      <c r="C38" s="18" t="s">
        <v>112</v>
      </c>
    </row>
    <row r="39" spans="1:3" ht="13" hidden="1" x14ac:dyDescent="0.15">
      <c r="A39" s="27"/>
      <c r="B39" s="29" t="s">
        <v>113</v>
      </c>
      <c r="C39" s="18" t="s">
        <v>114</v>
      </c>
    </row>
    <row r="40" spans="1:3" ht="13" hidden="1" x14ac:dyDescent="0.15">
      <c r="A40" s="27"/>
      <c r="B40" s="29" t="s">
        <v>115</v>
      </c>
      <c r="C40" s="18" t="s">
        <v>116</v>
      </c>
    </row>
    <row r="41" spans="1:3" ht="14" x14ac:dyDescent="0.15">
      <c r="A41" s="28">
        <v>17.18</v>
      </c>
      <c r="B41" s="29" t="s">
        <v>117</v>
      </c>
      <c r="C41" s="18" t="s">
        <v>118</v>
      </c>
    </row>
    <row r="42" spans="1:3" ht="14" x14ac:dyDescent="0.15">
      <c r="A42" s="28">
        <v>8</v>
      </c>
      <c r="B42" s="29" t="s">
        <v>119</v>
      </c>
      <c r="C42" s="18" t="s">
        <v>120</v>
      </c>
    </row>
    <row r="43" spans="1:3" ht="13" hidden="1" x14ac:dyDescent="0.15">
      <c r="A43" s="27"/>
      <c r="B43" s="29" t="s">
        <v>98</v>
      </c>
      <c r="C43" s="18" t="s">
        <v>121</v>
      </c>
    </row>
    <row r="44" spans="1:3" ht="13" hidden="1" x14ac:dyDescent="0.15">
      <c r="A44" s="27"/>
      <c r="B44" s="29" t="s">
        <v>101</v>
      </c>
      <c r="C44" s="18" t="s">
        <v>122</v>
      </c>
    </row>
    <row r="45" spans="1:3" ht="13" hidden="1" x14ac:dyDescent="0.15">
      <c r="A45" s="27"/>
      <c r="B45" s="29" t="s">
        <v>76</v>
      </c>
      <c r="C45" s="18" t="s">
        <v>123</v>
      </c>
    </row>
    <row r="46" spans="1:3" ht="13" hidden="1" x14ac:dyDescent="0.15">
      <c r="A46" s="27"/>
      <c r="B46" s="29" t="s">
        <v>74</v>
      </c>
      <c r="C46" s="18" t="s">
        <v>124</v>
      </c>
    </row>
    <row r="47" spans="1:3" ht="13" hidden="1" x14ac:dyDescent="0.15">
      <c r="A47" s="27"/>
      <c r="B47" s="29" t="s">
        <v>125</v>
      </c>
      <c r="C47" s="18" t="s">
        <v>126</v>
      </c>
    </row>
    <row r="48" spans="1:3" ht="13" hidden="1" x14ac:dyDescent="0.15">
      <c r="A48" s="27"/>
      <c r="B48" s="29" t="s">
        <v>127</v>
      </c>
      <c r="C48" s="18" t="s">
        <v>128</v>
      </c>
    </row>
    <row r="49" spans="1:3" ht="13" hidden="1" x14ac:dyDescent="0.15">
      <c r="A49" s="27"/>
      <c r="B49" s="29" t="s">
        <v>129</v>
      </c>
      <c r="C49" s="18" t="s">
        <v>130</v>
      </c>
    </row>
    <row r="50" spans="1:3" ht="13" hidden="1" x14ac:dyDescent="0.15">
      <c r="A50" s="27"/>
      <c r="B50" s="29" t="s">
        <v>131</v>
      </c>
      <c r="C50" s="18" t="s">
        <v>132</v>
      </c>
    </row>
    <row r="51" spans="1:3" ht="13" hidden="1" x14ac:dyDescent="0.15">
      <c r="A51" s="27"/>
      <c r="B51" s="29" t="s">
        <v>113</v>
      </c>
      <c r="C51" s="18" t="s">
        <v>133</v>
      </c>
    </row>
    <row r="52" spans="1:3" ht="13" hidden="1" x14ac:dyDescent="0.15">
      <c r="A52" s="27"/>
      <c r="B52" s="29" t="s">
        <v>134</v>
      </c>
      <c r="C52" s="18" t="s">
        <v>135</v>
      </c>
    </row>
    <row r="53" spans="1:3" ht="13" hidden="1" x14ac:dyDescent="0.15">
      <c r="A53" s="27"/>
      <c r="B53" s="29" t="s">
        <v>115</v>
      </c>
      <c r="C53" s="18" t="s">
        <v>136</v>
      </c>
    </row>
    <row r="54" spans="1:3" ht="13" hidden="1" x14ac:dyDescent="0.15">
      <c r="A54" s="27"/>
      <c r="B54" s="29" t="s">
        <v>137</v>
      </c>
      <c r="C54" s="18" t="s">
        <v>138</v>
      </c>
    </row>
    <row r="55" spans="1:3" ht="13" hidden="1" x14ac:dyDescent="0.15">
      <c r="A55" s="27"/>
      <c r="B55" s="29" t="s">
        <v>139</v>
      </c>
      <c r="C55" s="18" t="s">
        <v>140</v>
      </c>
    </row>
    <row r="56" spans="1:3" ht="13" hidden="1" x14ac:dyDescent="0.15">
      <c r="A56" s="27"/>
      <c r="B56" s="29" t="s">
        <v>141</v>
      </c>
      <c r="C56" s="18" t="s">
        <v>142</v>
      </c>
    </row>
    <row r="57" spans="1:3" ht="13" hidden="1" x14ac:dyDescent="0.15">
      <c r="A57" s="27"/>
      <c r="B57" s="29" t="s">
        <v>143</v>
      </c>
      <c r="C57" s="18" t="s">
        <v>144</v>
      </c>
    </row>
    <row r="58" spans="1:3" ht="13" hidden="1" x14ac:dyDescent="0.15">
      <c r="A58" s="27"/>
      <c r="B58" s="29" t="s">
        <v>145</v>
      </c>
    </row>
    <row r="59" spans="1:3" ht="13" hidden="1" x14ac:dyDescent="0.15">
      <c r="A59" s="27"/>
      <c r="B59" s="29" t="s">
        <v>98</v>
      </c>
      <c r="C59" s="18" t="s">
        <v>146</v>
      </c>
    </row>
    <row r="60" spans="1:3" ht="13" hidden="1" x14ac:dyDescent="0.15">
      <c r="A60" s="27"/>
      <c r="B60" s="29" t="s">
        <v>147</v>
      </c>
      <c r="C60" s="18" t="s">
        <v>148</v>
      </c>
    </row>
    <row r="61" spans="1:3" ht="13" hidden="1" x14ac:dyDescent="0.15">
      <c r="A61" s="27"/>
      <c r="B61" s="29" t="s">
        <v>149</v>
      </c>
      <c r="C61" s="18" t="s">
        <v>150</v>
      </c>
    </row>
    <row r="62" spans="1:3" ht="13" hidden="1" x14ac:dyDescent="0.15">
      <c r="A62" s="27"/>
      <c r="B62" s="30" t="s">
        <v>151</v>
      </c>
    </row>
    <row r="63" spans="1:3" ht="14" x14ac:dyDescent="0.15">
      <c r="A63" s="28">
        <v>28</v>
      </c>
      <c r="B63" s="29" t="s">
        <v>152</v>
      </c>
      <c r="C63" s="18" t="s">
        <v>153</v>
      </c>
    </row>
    <row r="64" spans="1:3" ht="13" hidden="1" x14ac:dyDescent="0.15">
      <c r="A64" s="27"/>
      <c r="B64" s="29" t="s">
        <v>154</v>
      </c>
      <c r="C64" s="18" t="s">
        <v>155</v>
      </c>
    </row>
    <row r="65" spans="1:3" ht="14" x14ac:dyDescent="0.15">
      <c r="A65" s="28">
        <v>26</v>
      </c>
      <c r="B65" s="29" t="s">
        <v>156</v>
      </c>
      <c r="C65" s="18" t="s">
        <v>157</v>
      </c>
    </row>
    <row r="66" spans="1:3" ht="14" x14ac:dyDescent="0.15">
      <c r="A66" s="28">
        <v>27</v>
      </c>
      <c r="B66" s="29" t="s">
        <v>158</v>
      </c>
      <c r="C66" s="18" t="s">
        <v>159</v>
      </c>
    </row>
    <row r="67" spans="1:3" ht="13" hidden="1" x14ac:dyDescent="0.15">
      <c r="A67" s="27"/>
      <c r="B67" s="29" t="s">
        <v>160</v>
      </c>
      <c r="C67" s="18" t="s">
        <v>161</v>
      </c>
    </row>
    <row r="68" spans="1:3" ht="13" hidden="1" x14ac:dyDescent="0.15">
      <c r="A68" s="27"/>
      <c r="B68" s="29" t="s">
        <v>162</v>
      </c>
      <c r="C68" s="18" t="s">
        <v>163</v>
      </c>
    </row>
    <row r="69" spans="1:3" ht="14" x14ac:dyDescent="0.15">
      <c r="A69" s="28">
        <v>29</v>
      </c>
      <c r="B69" s="29" t="s">
        <v>164</v>
      </c>
      <c r="C69" s="18" t="s">
        <v>165</v>
      </c>
    </row>
    <row r="70" spans="1:3" ht="14" x14ac:dyDescent="0.15">
      <c r="A70" s="28">
        <v>32</v>
      </c>
      <c r="B70" s="29" t="s">
        <v>166</v>
      </c>
      <c r="C70" s="18" t="s">
        <v>167</v>
      </c>
    </row>
    <row r="71" spans="1:3" ht="13" hidden="1" x14ac:dyDescent="0.15">
      <c r="A71" s="27"/>
      <c r="B71" s="29" t="s">
        <v>154</v>
      </c>
      <c r="C71" s="18" t="s">
        <v>168</v>
      </c>
    </row>
    <row r="72" spans="1:3" ht="14" x14ac:dyDescent="0.15">
      <c r="A72" s="28">
        <v>30</v>
      </c>
      <c r="B72" s="29" t="s">
        <v>156</v>
      </c>
      <c r="C72" s="18" t="s">
        <v>169</v>
      </c>
    </row>
    <row r="73" spans="1:3" ht="14" x14ac:dyDescent="0.15">
      <c r="A73" s="28">
        <v>31</v>
      </c>
      <c r="B73" s="29" t="s">
        <v>158</v>
      </c>
      <c r="C73" s="18" t="s">
        <v>170</v>
      </c>
    </row>
    <row r="74" spans="1:3" ht="13" hidden="1" x14ac:dyDescent="0.15">
      <c r="A74" s="27"/>
      <c r="B74" s="31" t="s">
        <v>160</v>
      </c>
      <c r="C74" s="18" t="s">
        <v>171</v>
      </c>
    </row>
    <row r="75" spans="1:3" ht="13" hidden="1" x14ac:dyDescent="0.15">
      <c r="A75" s="27"/>
      <c r="B75" s="32"/>
    </row>
    <row r="76" spans="1:3" ht="14" x14ac:dyDescent="0.15">
      <c r="A76" s="28">
        <v>25</v>
      </c>
      <c r="B76" s="29" t="s">
        <v>172</v>
      </c>
      <c r="C76" s="18" t="s">
        <v>173</v>
      </c>
    </row>
    <row r="77" spans="1:3" ht="13" hidden="1" x14ac:dyDescent="0.15">
      <c r="A77" s="27"/>
      <c r="B77" s="29" t="s">
        <v>174</v>
      </c>
      <c r="C77" s="18" t="s">
        <v>175</v>
      </c>
    </row>
    <row r="78" spans="1:3" ht="13" hidden="1" x14ac:dyDescent="0.15">
      <c r="A78" s="27"/>
      <c r="B78" s="31" t="s">
        <v>176</v>
      </c>
      <c r="C78" s="18" t="s">
        <v>177</v>
      </c>
    </row>
    <row r="79" spans="1:3" ht="13" x14ac:dyDescent="0.15">
      <c r="B79" s="33"/>
    </row>
    <row r="80" spans="1:3" ht="13" x14ac:dyDescent="0.15">
      <c r="B80" s="33"/>
    </row>
    <row r="81" spans="2:2" ht="13" x14ac:dyDescent="0.15">
      <c r="B81" s="33"/>
    </row>
    <row r="82" spans="2:2" ht="13" x14ac:dyDescent="0.15">
      <c r="B82" s="33"/>
    </row>
    <row r="83" spans="2:2" ht="13" x14ac:dyDescent="0.15">
      <c r="B83" s="33"/>
    </row>
    <row r="84" spans="2:2" ht="13" x14ac:dyDescent="0.15">
      <c r="B84" s="33"/>
    </row>
    <row r="85" spans="2:2" ht="13" x14ac:dyDescent="0.15">
      <c r="B85" s="33"/>
    </row>
    <row r="86" spans="2:2" ht="13" x14ac:dyDescent="0.15">
      <c r="B86" s="33"/>
    </row>
    <row r="87" spans="2:2" ht="13" x14ac:dyDescent="0.15">
      <c r="B87" s="33"/>
    </row>
    <row r="88" spans="2:2" ht="13" x14ac:dyDescent="0.15">
      <c r="B88" s="33"/>
    </row>
    <row r="89" spans="2:2" ht="13" x14ac:dyDescent="0.15">
      <c r="B89" s="33"/>
    </row>
    <row r="90" spans="2:2" ht="13" x14ac:dyDescent="0.15">
      <c r="B90" s="33"/>
    </row>
    <row r="91" spans="2:2" ht="13" x14ac:dyDescent="0.15">
      <c r="B91" s="33"/>
    </row>
    <row r="92" spans="2:2" ht="13" x14ac:dyDescent="0.15">
      <c r="B92" s="33"/>
    </row>
    <row r="93" spans="2:2" ht="13" x14ac:dyDescent="0.15">
      <c r="B93" s="34"/>
    </row>
    <row r="94" spans="2:2" ht="13" x14ac:dyDescent="0.15">
      <c r="B94" s="33"/>
    </row>
    <row r="95" spans="2:2" ht="13" x14ac:dyDescent="0.15">
      <c r="B95" s="33"/>
    </row>
    <row r="96" spans="2:2" ht="13" x14ac:dyDescent="0.15">
      <c r="B96" s="33"/>
    </row>
    <row r="97" spans="2:2" ht="13" x14ac:dyDescent="0.15">
      <c r="B97" s="33"/>
    </row>
    <row r="98" spans="2:2" ht="13" x14ac:dyDescent="0.15">
      <c r="B98" s="33"/>
    </row>
    <row r="99" spans="2:2" ht="13" x14ac:dyDescent="0.15">
      <c r="B99" s="33"/>
    </row>
    <row r="100" spans="2:2" ht="13" x14ac:dyDescent="0.15">
      <c r="B100" s="33"/>
    </row>
    <row r="101" spans="2:2" ht="13" x14ac:dyDescent="0.15">
      <c r="B101" s="33"/>
    </row>
    <row r="102" spans="2:2" ht="13" x14ac:dyDescent="0.15">
      <c r="B102" s="33"/>
    </row>
    <row r="103" spans="2:2" ht="13" x14ac:dyDescent="0.15">
      <c r="B103" s="34"/>
    </row>
    <row r="104" spans="2:2" ht="13" x14ac:dyDescent="0.15">
      <c r="B104" s="33"/>
    </row>
    <row r="105" spans="2:2" ht="13" x14ac:dyDescent="0.15">
      <c r="B105" s="33"/>
    </row>
    <row r="106" spans="2:2" ht="13" x14ac:dyDescent="0.15">
      <c r="B106" s="33"/>
    </row>
    <row r="107" spans="2:2" ht="13" x14ac:dyDescent="0.15">
      <c r="B107" s="33"/>
    </row>
    <row r="108" spans="2:2" ht="13" x14ac:dyDescent="0.15">
      <c r="B108" s="33"/>
    </row>
    <row r="109" spans="2:2" ht="13" x14ac:dyDescent="0.15">
      <c r="B109" s="33"/>
    </row>
    <row r="110" spans="2:2" ht="13" x14ac:dyDescent="0.15">
      <c r="B110" s="33"/>
    </row>
    <row r="111" spans="2:2" ht="13" x14ac:dyDescent="0.15">
      <c r="B111" s="33"/>
    </row>
    <row r="112" spans="2:2" ht="13" x14ac:dyDescent="0.15">
      <c r="B112" s="34"/>
    </row>
    <row r="113" spans="2:2" ht="13" x14ac:dyDescent="0.15">
      <c r="B113" s="33"/>
    </row>
    <row r="114" spans="2:2" ht="13" x14ac:dyDescent="0.15">
      <c r="B114" s="33"/>
    </row>
    <row r="115" spans="2:2" ht="13" x14ac:dyDescent="0.15">
      <c r="B115" s="33"/>
    </row>
    <row r="116" spans="2:2" ht="13" x14ac:dyDescent="0.15">
      <c r="B116" s="33"/>
    </row>
    <row r="117" spans="2:2" ht="13" x14ac:dyDescent="0.15">
      <c r="B117" s="33"/>
    </row>
    <row r="118" spans="2:2" ht="13" x14ac:dyDescent="0.15">
      <c r="B118" s="33"/>
    </row>
    <row r="119" spans="2:2" ht="13" x14ac:dyDescent="0.15">
      <c r="B119" s="33"/>
    </row>
    <row r="120" spans="2:2" ht="13" x14ac:dyDescent="0.15">
      <c r="B120" s="33"/>
    </row>
    <row r="121" spans="2:2" ht="13" x14ac:dyDescent="0.15">
      <c r="B121" s="33"/>
    </row>
    <row r="122" spans="2:2" ht="13" x14ac:dyDescent="0.15">
      <c r="B122" s="33"/>
    </row>
    <row r="123" spans="2:2" ht="13" x14ac:dyDescent="0.15">
      <c r="B123" s="33"/>
    </row>
    <row r="124" spans="2:2" ht="13" x14ac:dyDescent="0.15">
      <c r="B124" s="33"/>
    </row>
    <row r="125" spans="2:2" ht="13" x14ac:dyDescent="0.15">
      <c r="B125" s="33"/>
    </row>
    <row r="126" spans="2:2" ht="13" x14ac:dyDescent="0.15">
      <c r="B126" s="33"/>
    </row>
    <row r="127" spans="2:2" ht="13" x14ac:dyDescent="0.15">
      <c r="B127" s="33"/>
    </row>
    <row r="128" spans="2:2" ht="13" x14ac:dyDescent="0.15">
      <c r="B128" s="33"/>
    </row>
    <row r="129" spans="2:2" ht="13" x14ac:dyDescent="0.15">
      <c r="B129" s="33"/>
    </row>
    <row r="130" spans="2:2" ht="13" x14ac:dyDescent="0.15">
      <c r="B130" s="33"/>
    </row>
    <row r="131" spans="2:2" ht="13" x14ac:dyDescent="0.15">
      <c r="B131" s="33"/>
    </row>
    <row r="132" spans="2:2" ht="13" x14ac:dyDescent="0.15">
      <c r="B132" s="33"/>
    </row>
    <row r="133" spans="2:2" ht="13" x14ac:dyDescent="0.15">
      <c r="B133" s="33"/>
    </row>
    <row r="134" spans="2:2" ht="13" x14ac:dyDescent="0.15">
      <c r="B134" s="33"/>
    </row>
    <row r="135" spans="2:2" ht="13" x14ac:dyDescent="0.15">
      <c r="B135" s="33"/>
    </row>
    <row r="136" spans="2:2" ht="13" x14ac:dyDescent="0.15">
      <c r="B136" s="33"/>
    </row>
    <row r="137" spans="2:2" ht="13" x14ac:dyDescent="0.15">
      <c r="B137" s="33"/>
    </row>
    <row r="138" spans="2:2" ht="13" x14ac:dyDescent="0.15">
      <c r="B138" s="33"/>
    </row>
    <row r="139" spans="2:2" ht="13" x14ac:dyDescent="0.15">
      <c r="B139" s="33"/>
    </row>
    <row r="140" spans="2:2" ht="13" x14ac:dyDescent="0.15">
      <c r="B140" s="34"/>
    </row>
    <row r="141" spans="2:2" ht="13" x14ac:dyDescent="0.15">
      <c r="B141" s="33"/>
    </row>
    <row r="142" spans="2:2" ht="13" x14ac:dyDescent="0.15">
      <c r="B142" s="33"/>
    </row>
    <row r="143" spans="2:2" ht="13" x14ac:dyDescent="0.15">
      <c r="B143" s="33"/>
    </row>
    <row r="144" spans="2:2" ht="13" x14ac:dyDescent="0.15">
      <c r="B144" s="33"/>
    </row>
    <row r="145" spans="2:2" ht="13" x14ac:dyDescent="0.15">
      <c r="B145" s="33"/>
    </row>
    <row r="146" spans="2:2" ht="13" x14ac:dyDescent="0.15">
      <c r="B146" s="33"/>
    </row>
    <row r="147" spans="2:2" ht="13" x14ac:dyDescent="0.15">
      <c r="B147" s="33"/>
    </row>
    <row r="148" spans="2:2" ht="13" x14ac:dyDescent="0.15">
      <c r="B148" s="33"/>
    </row>
    <row r="149" spans="2:2" ht="13" x14ac:dyDescent="0.15">
      <c r="B149" s="33"/>
    </row>
    <row r="150" spans="2:2" ht="13" x14ac:dyDescent="0.15">
      <c r="B150" s="33"/>
    </row>
    <row r="151" spans="2:2" ht="13" x14ac:dyDescent="0.15">
      <c r="B151" s="33"/>
    </row>
    <row r="152" spans="2:2" ht="13" x14ac:dyDescent="0.15">
      <c r="B152" s="33"/>
    </row>
    <row r="153" spans="2:2" ht="13" x14ac:dyDescent="0.15">
      <c r="B153" s="34"/>
    </row>
    <row r="154" spans="2:2" ht="13" x14ac:dyDescent="0.15">
      <c r="B154" s="33"/>
    </row>
    <row r="155" spans="2:2" ht="13" x14ac:dyDescent="0.15">
      <c r="B155" s="33"/>
    </row>
    <row r="156" spans="2:2" ht="13" x14ac:dyDescent="0.15">
      <c r="B156" s="33"/>
    </row>
  </sheetData>
  <autoFilter ref="A1:D78" xr:uid="{00000000-0009-0000-0000-000006000000}">
    <filterColumn colId="0">
      <filters>
        <filter val="10"/>
        <filter val="11.12"/>
        <filter val="13"/>
        <filter val="14"/>
        <filter val="15.16"/>
        <filter val="17.18"/>
        <filter val="19"/>
        <filter val="20"/>
        <filter val="21"/>
        <filter val="24"/>
        <filter val="25"/>
        <filter val="26"/>
        <filter val="27"/>
        <filter val="28"/>
        <filter val="29"/>
        <filter val="30"/>
        <filter val="31"/>
        <filter val="32"/>
        <filter val="4"/>
        <filter val="5"/>
        <filter val="6.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Результат</vt:lpstr>
      <vt:lpstr>Полувагоны</vt:lpstr>
      <vt:lpstr>Вагоны</vt:lpstr>
      <vt:lpstr>Не полувагоны</vt:lpstr>
      <vt:lpstr>Инструкция</vt:lpstr>
      <vt:lpstr>Соответствие2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Oleksii Zvolinskyi</cp:lastModifiedBy>
  <dcterms:modified xsi:type="dcterms:W3CDTF">2021-08-14T20:40:35Z</dcterms:modified>
</cp:coreProperties>
</file>