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alenjose/Desktop/darklord/EXCEL/payroll/"/>
    </mc:Choice>
  </mc:AlternateContent>
  <xr:revisionPtr revIDLastSave="0" documentId="8_{C6A0C6D0-E45A-BA4D-8A6A-DAA7107F3A7B}" xr6:coauthVersionLast="47" xr6:coauthVersionMax="47" xr10:uidLastSave="{00000000-0000-0000-0000-000000000000}"/>
  <bookViews>
    <workbookView xWindow="0" yWindow="760" windowWidth="30240" windowHeight="17360" firstSheet="2" activeTab="10" xr2:uid="{25637B0D-76A3-BB4C-B182-3CE7A8F761F5}"/>
  </bookViews>
  <sheets>
    <sheet name="employee_payroll" sheetId="1" r:id="rId1"/>
    <sheet name="payroll_extended" sheetId="3" r:id="rId2"/>
    <sheet name="marksheet" sheetId="4" r:id="rId3"/>
    <sheet name="Career_decider" sheetId="5" r:id="rId4"/>
    <sheet name="Customer Transcation" sheetId="6" r:id="rId5"/>
    <sheet name="cust.trans.pivot" sheetId="7" r:id="rId6"/>
    <sheet name="car_inventory" sheetId="8" r:id="rId7"/>
    <sheet name="car_inv_pivot" sheetId="10" r:id="rId8"/>
    <sheet name="loan_comparison" sheetId="11" r:id="rId9"/>
    <sheet name="budget_shopping" sheetId="12" r:id="rId10"/>
    <sheet name="Sheet12" sheetId="13" r:id="rId11"/>
  </sheets>
  <definedNames>
    <definedName name="_xlnm._FilterDatabase" localSheetId="4" hidden="1">'Customer Transcation'!$A$3:$K$243</definedName>
  </definedNames>
  <calcPr calcId="191029"/>
  <pivotCaches>
    <pivotCache cacheId="11" r:id="rId12"/>
    <pivotCache cacheId="2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2" l="1"/>
  <c r="Q5" i="12"/>
  <c r="P6" i="12"/>
  <c r="Q6" i="12"/>
  <c r="P7" i="12"/>
  <c r="Q7" i="12"/>
  <c r="P8" i="12"/>
  <c r="Q8" i="12"/>
  <c r="P9" i="12"/>
  <c r="Q9" i="12"/>
  <c r="P10" i="12"/>
  <c r="Q10" i="12"/>
  <c r="P11" i="12"/>
  <c r="Q11" i="12"/>
  <c r="P12" i="12"/>
  <c r="Q12" i="12"/>
  <c r="T12" i="12" s="1"/>
  <c r="P13" i="12"/>
  <c r="Q13" i="12"/>
  <c r="P14" i="12"/>
  <c r="Q14" i="12"/>
  <c r="K18" i="12"/>
  <c r="K5" i="12"/>
  <c r="K6" i="12"/>
  <c r="K7" i="12"/>
  <c r="N7" i="12" s="1"/>
  <c r="K8" i="12"/>
  <c r="K9" i="12"/>
  <c r="K10" i="12"/>
  <c r="K11" i="12"/>
  <c r="K12" i="12"/>
  <c r="K13" i="12"/>
  <c r="K14" i="12"/>
  <c r="K15" i="12"/>
  <c r="M15" i="12" s="1"/>
  <c r="K16" i="12"/>
  <c r="K17" i="12"/>
  <c r="K4" i="12"/>
  <c r="Q4" i="12"/>
  <c r="P4" i="12"/>
  <c r="T4" i="12" s="1"/>
  <c r="J4" i="12"/>
  <c r="M4" i="12" s="1"/>
  <c r="J6" i="12"/>
  <c r="N6" i="12" s="1"/>
  <c r="J5" i="12"/>
  <c r="J7" i="12"/>
  <c r="J8" i="12"/>
  <c r="J9" i="12"/>
  <c r="J10" i="12"/>
  <c r="J11" i="12"/>
  <c r="J12" i="12"/>
  <c r="J13" i="12"/>
  <c r="J14" i="12"/>
  <c r="M14" i="12" s="1"/>
  <c r="J15" i="12"/>
  <c r="J16" i="12"/>
  <c r="J17" i="12"/>
  <c r="J18" i="12"/>
  <c r="G3" i="11"/>
  <c r="G4" i="11"/>
  <c r="G5" i="11"/>
  <c r="E3" i="11"/>
  <c r="F3" i="11" s="1"/>
  <c r="E4" i="11"/>
  <c r="F4" i="11" s="1"/>
  <c r="E5" i="11"/>
  <c r="F5" i="11" s="1"/>
  <c r="E2" i="11"/>
  <c r="F2" i="11"/>
  <c r="G2" i="11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2" i="8"/>
  <c r="I3" i="10" a="1"/>
  <c r="I3" i="10" s="1"/>
  <c r="E3" i="10" a="1"/>
  <c r="E3" i="10" s="1"/>
  <c r="V5" i="8"/>
  <c r="U5" i="8"/>
  <c r="T5" i="8"/>
  <c r="R5" i="8"/>
  <c r="Q5" i="8"/>
  <c r="B2" i="8"/>
  <c r="B3" i="8"/>
  <c r="B4" i="8"/>
  <c r="B5" i="8"/>
  <c r="C5" i="8" s="1"/>
  <c r="B6" i="8"/>
  <c r="C6" i="8" s="1"/>
  <c r="B7" i="8"/>
  <c r="B8" i="8"/>
  <c r="C8" i="8" s="1"/>
  <c r="B9" i="8"/>
  <c r="B10" i="8"/>
  <c r="B11" i="8"/>
  <c r="B12" i="8"/>
  <c r="B13" i="8"/>
  <c r="B14" i="8"/>
  <c r="C14" i="8" s="1"/>
  <c r="B15" i="8"/>
  <c r="B16" i="8"/>
  <c r="B17" i="8"/>
  <c r="B18" i="8"/>
  <c r="B19" i="8"/>
  <c r="B20" i="8"/>
  <c r="B21" i="8"/>
  <c r="B22" i="8"/>
  <c r="C22" i="8" s="1"/>
  <c r="B23" i="8"/>
  <c r="B24" i="8"/>
  <c r="B25" i="8"/>
  <c r="C25" i="8" s="1"/>
  <c r="B26" i="8"/>
  <c r="B27" i="8"/>
  <c r="B28" i="8"/>
  <c r="B29" i="8"/>
  <c r="B30" i="8"/>
  <c r="C30" i="8" s="1"/>
  <c r="B31" i="8"/>
  <c r="C31" i="8" s="1"/>
  <c r="B32" i="8"/>
  <c r="B33" i="8"/>
  <c r="C33" i="8" s="1"/>
  <c r="B34" i="8"/>
  <c r="B35" i="8"/>
  <c r="B36" i="8"/>
  <c r="B37" i="8"/>
  <c r="B38" i="8"/>
  <c r="C38" i="8" s="1"/>
  <c r="B39" i="8"/>
  <c r="C39" i="8" s="1"/>
  <c r="B40" i="8"/>
  <c r="B41" i="8"/>
  <c r="C41" i="8" s="1"/>
  <c r="B42" i="8"/>
  <c r="B43" i="8"/>
  <c r="B44" i="8"/>
  <c r="C44" i="8" s="1"/>
  <c r="B45" i="8"/>
  <c r="B46" i="8"/>
  <c r="C46" i="8" s="1"/>
  <c r="B47" i="8"/>
  <c r="C47" i="8" s="1"/>
  <c r="B48" i="8"/>
  <c r="B49" i="8"/>
  <c r="C49" i="8" s="1"/>
  <c r="B50" i="8"/>
  <c r="B51" i="8"/>
  <c r="B52" i="8"/>
  <c r="C52" i="8" s="1"/>
  <c r="B53" i="8"/>
  <c r="C53" i="8" s="1"/>
  <c r="N2" i="8"/>
  <c r="N53" i="8"/>
  <c r="M53" i="8"/>
  <c r="F53" i="8"/>
  <c r="I53" i="8" s="1"/>
  <c r="D53" i="8"/>
  <c r="E53" i="8" s="1"/>
  <c r="N52" i="8"/>
  <c r="M52" i="8"/>
  <c r="F52" i="8"/>
  <c r="I52" i="8" s="1"/>
  <c r="D52" i="8"/>
  <c r="E52" i="8" s="1"/>
  <c r="N51" i="8"/>
  <c r="M51" i="8"/>
  <c r="F51" i="8"/>
  <c r="I51" i="8" s="1"/>
  <c r="D51" i="8"/>
  <c r="E51" i="8" s="1"/>
  <c r="C51" i="8"/>
  <c r="N50" i="8"/>
  <c r="M50" i="8"/>
  <c r="F50" i="8"/>
  <c r="I50" i="8" s="1"/>
  <c r="D50" i="8"/>
  <c r="E50" i="8" s="1"/>
  <c r="C50" i="8"/>
  <c r="N49" i="8"/>
  <c r="M49" i="8"/>
  <c r="F49" i="8"/>
  <c r="D49" i="8"/>
  <c r="E49" i="8" s="1"/>
  <c r="N48" i="8"/>
  <c r="M48" i="8"/>
  <c r="F48" i="8"/>
  <c r="D48" i="8"/>
  <c r="E48" i="8" s="1"/>
  <c r="C48" i="8"/>
  <c r="N47" i="8"/>
  <c r="M47" i="8"/>
  <c r="F47" i="8"/>
  <c r="I47" i="8" s="1"/>
  <c r="D47" i="8"/>
  <c r="E47" i="8" s="1"/>
  <c r="N46" i="8"/>
  <c r="M46" i="8"/>
  <c r="F46" i="8"/>
  <c r="D46" i="8"/>
  <c r="E46" i="8" s="1"/>
  <c r="N45" i="8"/>
  <c r="M45" i="8"/>
  <c r="F45" i="8"/>
  <c r="I45" i="8" s="1"/>
  <c r="D45" i="8"/>
  <c r="E45" i="8" s="1"/>
  <c r="C45" i="8"/>
  <c r="N44" i="8"/>
  <c r="M44" i="8"/>
  <c r="F44" i="8"/>
  <c r="I44" i="8" s="1"/>
  <c r="D44" i="8"/>
  <c r="E44" i="8" s="1"/>
  <c r="N43" i="8"/>
  <c r="M43" i="8"/>
  <c r="F43" i="8"/>
  <c r="I43" i="8" s="1"/>
  <c r="D43" i="8"/>
  <c r="E43" i="8" s="1"/>
  <c r="C43" i="8"/>
  <c r="N42" i="8"/>
  <c r="M42" i="8"/>
  <c r="F42" i="8"/>
  <c r="D42" i="8"/>
  <c r="E42" i="8" s="1"/>
  <c r="C42" i="8"/>
  <c r="N41" i="8"/>
  <c r="M41" i="8"/>
  <c r="F41" i="8"/>
  <c r="D41" i="8"/>
  <c r="E41" i="8" s="1"/>
  <c r="N40" i="8"/>
  <c r="M40" i="8"/>
  <c r="F40" i="8"/>
  <c r="D40" i="8"/>
  <c r="E40" i="8" s="1"/>
  <c r="C40" i="8"/>
  <c r="N39" i="8"/>
  <c r="M39" i="8"/>
  <c r="F39" i="8"/>
  <c r="D39" i="8"/>
  <c r="E39" i="8" s="1"/>
  <c r="N38" i="8"/>
  <c r="M38" i="8"/>
  <c r="F38" i="8"/>
  <c r="D38" i="8"/>
  <c r="E38" i="8" s="1"/>
  <c r="N37" i="8"/>
  <c r="M37" i="8"/>
  <c r="F37" i="8"/>
  <c r="D37" i="8"/>
  <c r="E37" i="8" s="1"/>
  <c r="C37" i="8"/>
  <c r="N36" i="8"/>
  <c r="M36" i="8"/>
  <c r="F36" i="8"/>
  <c r="I36" i="8" s="1"/>
  <c r="D36" i="8"/>
  <c r="E36" i="8" s="1"/>
  <c r="C36" i="8"/>
  <c r="N35" i="8"/>
  <c r="M35" i="8"/>
  <c r="F35" i="8"/>
  <c r="I35" i="8" s="1"/>
  <c r="D35" i="8"/>
  <c r="E35" i="8" s="1"/>
  <c r="C35" i="8"/>
  <c r="N34" i="8"/>
  <c r="M34" i="8"/>
  <c r="F34" i="8"/>
  <c r="D34" i="8"/>
  <c r="E34" i="8" s="1"/>
  <c r="C34" i="8"/>
  <c r="N33" i="8"/>
  <c r="M33" i="8"/>
  <c r="F33" i="8"/>
  <c r="D33" i="8"/>
  <c r="E33" i="8" s="1"/>
  <c r="N32" i="8"/>
  <c r="M32" i="8"/>
  <c r="F32" i="8"/>
  <c r="D32" i="8"/>
  <c r="E32" i="8" s="1"/>
  <c r="C32" i="8"/>
  <c r="N31" i="8"/>
  <c r="M31" i="8"/>
  <c r="F31" i="8"/>
  <c r="I31" i="8" s="1"/>
  <c r="D31" i="8"/>
  <c r="E31" i="8" s="1"/>
  <c r="N30" i="8"/>
  <c r="M30" i="8"/>
  <c r="F30" i="8"/>
  <c r="D30" i="8"/>
  <c r="E30" i="8" s="1"/>
  <c r="N29" i="8"/>
  <c r="M29" i="8"/>
  <c r="F29" i="8"/>
  <c r="I29" i="8" s="1"/>
  <c r="D29" i="8"/>
  <c r="E29" i="8" s="1"/>
  <c r="C29" i="8"/>
  <c r="N28" i="8"/>
  <c r="M28" i="8"/>
  <c r="F28" i="8"/>
  <c r="I28" i="8" s="1"/>
  <c r="D28" i="8"/>
  <c r="E28" i="8" s="1"/>
  <c r="C28" i="8"/>
  <c r="N27" i="8"/>
  <c r="M27" i="8"/>
  <c r="F27" i="8"/>
  <c r="I27" i="8" s="1"/>
  <c r="D27" i="8"/>
  <c r="E27" i="8" s="1"/>
  <c r="C27" i="8"/>
  <c r="N26" i="8"/>
  <c r="M26" i="8"/>
  <c r="F26" i="8"/>
  <c r="D26" i="8"/>
  <c r="E26" i="8" s="1"/>
  <c r="C26" i="8"/>
  <c r="N25" i="8"/>
  <c r="M25" i="8"/>
  <c r="F25" i="8"/>
  <c r="D25" i="8"/>
  <c r="E25" i="8" s="1"/>
  <c r="N24" i="8"/>
  <c r="M24" i="8"/>
  <c r="F24" i="8"/>
  <c r="I24" i="8" s="1"/>
  <c r="D24" i="8"/>
  <c r="E24" i="8" s="1"/>
  <c r="C24" i="8"/>
  <c r="N23" i="8"/>
  <c r="M23" i="8"/>
  <c r="F23" i="8"/>
  <c r="I23" i="8" s="1"/>
  <c r="D23" i="8"/>
  <c r="E23" i="8" s="1"/>
  <c r="C23" i="8"/>
  <c r="N22" i="8"/>
  <c r="M22" i="8"/>
  <c r="F22" i="8"/>
  <c r="D22" i="8"/>
  <c r="E22" i="8" s="1"/>
  <c r="N21" i="8"/>
  <c r="M21" i="8"/>
  <c r="F21" i="8"/>
  <c r="D21" i="8"/>
  <c r="E21" i="8" s="1"/>
  <c r="C21" i="8"/>
  <c r="N20" i="8"/>
  <c r="M20" i="8"/>
  <c r="F20" i="8"/>
  <c r="I20" i="8" s="1"/>
  <c r="D20" i="8"/>
  <c r="E20" i="8" s="1"/>
  <c r="C20" i="8"/>
  <c r="N19" i="8"/>
  <c r="M19" i="8"/>
  <c r="F19" i="8"/>
  <c r="I19" i="8" s="1"/>
  <c r="D19" i="8"/>
  <c r="E19" i="8" s="1"/>
  <c r="C19" i="8"/>
  <c r="N18" i="8"/>
  <c r="M18" i="8"/>
  <c r="F18" i="8"/>
  <c r="D18" i="8"/>
  <c r="E18" i="8" s="1"/>
  <c r="C18" i="8"/>
  <c r="N17" i="8"/>
  <c r="M17" i="8"/>
  <c r="F17" i="8"/>
  <c r="D17" i="8"/>
  <c r="E17" i="8" s="1"/>
  <c r="C17" i="8"/>
  <c r="N16" i="8"/>
  <c r="M16" i="8"/>
  <c r="F16" i="8"/>
  <c r="I16" i="8" s="1"/>
  <c r="D16" i="8"/>
  <c r="E16" i="8" s="1"/>
  <c r="C16" i="8"/>
  <c r="N15" i="8"/>
  <c r="M15" i="8"/>
  <c r="F15" i="8"/>
  <c r="I15" i="8" s="1"/>
  <c r="D15" i="8"/>
  <c r="E15" i="8" s="1"/>
  <c r="C15" i="8"/>
  <c r="N14" i="8"/>
  <c r="M14" i="8"/>
  <c r="F14" i="8"/>
  <c r="I14" i="8" s="1"/>
  <c r="D14" i="8"/>
  <c r="E14" i="8" s="1"/>
  <c r="N13" i="8"/>
  <c r="M13" i="8"/>
  <c r="F13" i="8"/>
  <c r="I13" i="8" s="1"/>
  <c r="E13" i="8"/>
  <c r="D13" i="8"/>
  <c r="C13" i="8"/>
  <c r="N12" i="8"/>
  <c r="M12" i="8"/>
  <c r="F12" i="8"/>
  <c r="I12" i="8" s="1"/>
  <c r="D12" i="8"/>
  <c r="E12" i="8" s="1"/>
  <c r="C12" i="8"/>
  <c r="N11" i="8"/>
  <c r="M11" i="8"/>
  <c r="F11" i="8"/>
  <c r="I11" i="8" s="1"/>
  <c r="D11" i="8"/>
  <c r="E11" i="8" s="1"/>
  <c r="C11" i="8"/>
  <c r="N10" i="8"/>
  <c r="M10" i="8"/>
  <c r="F10" i="8"/>
  <c r="D10" i="8"/>
  <c r="E10" i="8" s="1"/>
  <c r="C10" i="8"/>
  <c r="N9" i="8"/>
  <c r="M9" i="8"/>
  <c r="F9" i="8"/>
  <c r="D9" i="8"/>
  <c r="E9" i="8" s="1"/>
  <c r="C9" i="8"/>
  <c r="N8" i="8"/>
  <c r="M8" i="8"/>
  <c r="F8" i="8"/>
  <c r="D8" i="8"/>
  <c r="E8" i="8" s="1"/>
  <c r="N7" i="8"/>
  <c r="M7" i="8"/>
  <c r="F7" i="8"/>
  <c r="I7" i="8" s="1"/>
  <c r="D7" i="8"/>
  <c r="E7" i="8" s="1"/>
  <c r="C7" i="8"/>
  <c r="N6" i="8"/>
  <c r="M6" i="8"/>
  <c r="F6" i="8"/>
  <c r="D6" i="8"/>
  <c r="E6" i="8" s="1"/>
  <c r="N5" i="8"/>
  <c r="M5" i="8"/>
  <c r="F5" i="8"/>
  <c r="D5" i="8"/>
  <c r="E5" i="8" s="1"/>
  <c r="N4" i="8"/>
  <c r="M4" i="8"/>
  <c r="F4" i="8"/>
  <c r="I4" i="8" s="1"/>
  <c r="E4" i="8"/>
  <c r="D4" i="8"/>
  <c r="C4" i="8"/>
  <c r="N3" i="8"/>
  <c r="M3" i="8"/>
  <c r="F3" i="8"/>
  <c r="I3" i="8" s="1"/>
  <c r="D3" i="8"/>
  <c r="E3" i="8" s="1"/>
  <c r="C3" i="8"/>
  <c r="M2" i="8"/>
  <c r="F2" i="8"/>
  <c r="I2" i="8" s="1"/>
  <c r="S5" i="8" s="1"/>
  <c r="D2" i="8"/>
  <c r="E2" i="8" s="1"/>
  <c r="C2" i="8"/>
  <c r="H246" i="6"/>
  <c r="D246" i="6"/>
  <c r="D248" i="6"/>
  <c r="D247" i="6"/>
  <c r="G51" i="6"/>
  <c r="H51" i="6" s="1"/>
  <c r="G156" i="6"/>
  <c r="H156" i="6" s="1"/>
  <c r="G52" i="6"/>
  <c r="H52" i="6" s="1"/>
  <c r="G233" i="6"/>
  <c r="H233" i="6" s="1"/>
  <c r="G179" i="6"/>
  <c r="H179" i="6" s="1"/>
  <c r="G4" i="6"/>
  <c r="H4" i="6" s="1"/>
  <c r="G180" i="6"/>
  <c r="H180" i="6" s="1"/>
  <c r="G53" i="6"/>
  <c r="H53" i="6" s="1"/>
  <c r="G54" i="6"/>
  <c r="H54" i="6" s="1"/>
  <c r="G55" i="6"/>
  <c r="H55" i="6" s="1"/>
  <c r="G56" i="6"/>
  <c r="H56" i="6" s="1"/>
  <c r="G181" i="6"/>
  <c r="H181" i="6" s="1"/>
  <c r="G115" i="6"/>
  <c r="H115" i="6" s="1"/>
  <c r="G57" i="6"/>
  <c r="H57" i="6" s="1"/>
  <c r="G116" i="6"/>
  <c r="H116" i="6" s="1"/>
  <c r="G182" i="6"/>
  <c r="H182" i="6" s="1"/>
  <c r="G58" i="6"/>
  <c r="H58" i="6" s="1"/>
  <c r="G5" i="6"/>
  <c r="H5" i="6" s="1"/>
  <c r="G117" i="6"/>
  <c r="H117" i="6" s="1"/>
  <c r="G183" i="6"/>
  <c r="H183" i="6" s="1"/>
  <c r="G118" i="6"/>
  <c r="H118" i="6" s="1"/>
  <c r="G6" i="6"/>
  <c r="H6" i="6" s="1"/>
  <c r="G184" i="6"/>
  <c r="H184" i="6" s="1"/>
  <c r="G7" i="6"/>
  <c r="H7" i="6" s="1"/>
  <c r="G12" i="6"/>
  <c r="H12" i="6" s="1"/>
  <c r="G119" i="6"/>
  <c r="H119" i="6" s="1"/>
  <c r="G60" i="6"/>
  <c r="H60" i="6" s="1"/>
  <c r="G185" i="6"/>
  <c r="H185" i="6" s="1"/>
  <c r="G61" i="6"/>
  <c r="H61" i="6" s="1"/>
  <c r="G62" i="6"/>
  <c r="H62" i="6" s="1"/>
  <c r="G120" i="6"/>
  <c r="H120" i="6" s="1"/>
  <c r="G121" i="6"/>
  <c r="H121" i="6" s="1"/>
  <c r="G63" i="6"/>
  <c r="H63" i="6" s="1"/>
  <c r="G122" i="6"/>
  <c r="H122" i="6" s="1"/>
  <c r="G8" i="6"/>
  <c r="H8" i="6" s="1"/>
  <c r="G64" i="6"/>
  <c r="H64" i="6" s="1"/>
  <c r="G186" i="6"/>
  <c r="H186" i="6" s="1"/>
  <c r="G9" i="6"/>
  <c r="H9" i="6" s="1"/>
  <c r="G123" i="6"/>
  <c r="H123" i="6" s="1"/>
  <c r="G33" i="6"/>
  <c r="H33" i="6" s="1"/>
  <c r="G10" i="6"/>
  <c r="H10" i="6" s="1"/>
  <c r="G65" i="6"/>
  <c r="H65" i="6" s="1"/>
  <c r="G66" i="6"/>
  <c r="H66" i="6" s="1"/>
  <c r="G187" i="6"/>
  <c r="H187" i="6" s="1"/>
  <c r="G125" i="6"/>
  <c r="H125" i="6" s="1"/>
  <c r="G188" i="6"/>
  <c r="H188" i="6" s="1"/>
  <c r="G67" i="6"/>
  <c r="H67" i="6" s="1"/>
  <c r="G126" i="6"/>
  <c r="H126" i="6" s="1"/>
  <c r="G11" i="6"/>
  <c r="H11" i="6" s="1"/>
  <c r="G127" i="6"/>
  <c r="H127" i="6" s="1"/>
  <c r="G128" i="6"/>
  <c r="H128" i="6" s="1"/>
  <c r="G68" i="6"/>
  <c r="H68" i="6" s="1"/>
  <c r="G189" i="6"/>
  <c r="H189" i="6" s="1"/>
  <c r="G69" i="6"/>
  <c r="H69" i="6" s="1"/>
  <c r="G129" i="6"/>
  <c r="H129" i="6" s="1"/>
  <c r="G70" i="6"/>
  <c r="H70" i="6" s="1"/>
  <c r="G83" i="6"/>
  <c r="H83" i="6" s="1"/>
  <c r="G71" i="6"/>
  <c r="H71" i="6" s="1"/>
  <c r="G130" i="6"/>
  <c r="H130" i="6" s="1"/>
  <c r="G190" i="6"/>
  <c r="H190" i="6" s="1"/>
  <c r="G39" i="6"/>
  <c r="H39" i="6" s="1"/>
  <c r="G191" i="6"/>
  <c r="H191" i="6" s="1"/>
  <c r="G132" i="6"/>
  <c r="H132" i="6" s="1"/>
  <c r="G192" i="6"/>
  <c r="H192" i="6" s="1"/>
  <c r="G163" i="6"/>
  <c r="H163" i="6" s="1"/>
  <c r="G133" i="6"/>
  <c r="H133" i="6" s="1"/>
  <c r="G157" i="6"/>
  <c r="H157" i="6" s="1"/>
  <c r="G72" i="6"/>
  <c r="H72" i="6" s="1"/>
  <c r="G134" i="6"/>
  <c r="H134" i="6" s="1"/>
  <c r="G91" i="6"/>
  <c r="H91" i="6" s="1"/>
  <c r="G15" i="6"/>
  <c r="H15" i="6" s="1"/>
  <c r="G16" i="6"/>
  <c r="H16" i="6" s="1"/>
  <c r="G73" i="6"/>
  <c r="H73" i="6" s="1"/>
  <c r="G17" i="6"/>
  <c r="H17" i="6" s="1"/>
  <c r="G135" i="6"/>
  <c r="H135" i="6" s="1"/>
  <c r="G18" i="6"/>
  <c r="H18" i="6" s="1"/>
  <c r="G74" i="6"/>
  <c r="H74" i="6" s="1"/>
  <c r="G75" i="6"/>
  <c r="H75" i="6" s="1"/>
  <c r="G158" i="6"/>
  <c r="H158" i="6" s="1"/>
  <c r="G194" i="6"/>
  <c r="H194" i="6" s="1"/>
  <c r="G195" i="6"/>
  <c r="H195" i="6" s="1"/>
  <c r="G76" i="6"/>
  <c r="H76" i="6" s="1"/>
  <c r="G196" i="6"/>
  <c r="H196" i="6" s="1"/>
  <c r="G20" i="6"/>
  <c r="H20" i="6" s="1"/>
  <c r="G197" i="6"/>
  <c r="H197" i="6" s="1"/>
  <c r="G136" i="6"/>
  <c r="H136" i="6" s="1"/>
  <c r="G21" i="6"/>
  <c r="H21" i="6" s="1"/>
  <c r="G77" i="6"/>
  <c r="H77" i="6" s="1"/>
  <c r="G137" i="6"/>
  <c r="H137" i="6" s="1"/>
  <c r="G138" i="6"/>
  <c r="H138" i="6" s="1"/>
  <c r="G198" i="6"/>
  <c r="H198" i="6" s="1"/>
  <c r="G22" i="6"/>
  <c r="H22" i="6" s="1"/>
  <c r="G199" i="6"/>
  <c r="H199" i="6" s="1"/>
  <c r="G139" i="6"/>
  <c r="H139" i="6" s="1"/>
  <c r="G23" i="6"/>
  <c r="H23" i="6" s="1"/>
  <c r="G238" i="6"/>
  <c r="H238" i="6" s="1"/>
  <c r="G45" i="6"/>
  <c r="H45" i="6" s="1"/>
  <c r="G201" i="6"/>
  <c r="H201" i="6" s="1"/>
  <c r="G141" i="6"/>
  <c r="H141" i="6" s="1"/>
  <c r="G78" i="6"/>
  <c r="H78" i="6" s="1"/>
  <c r="G202" i="6"/>
  <c r="H202" i="6" s="1"/>
  <c r="G142" i="6"/>
  <c r="H142" i="6" s="1"/>
  <c r="G203" i="6"/>
  <c r="H203" i="6" s="1"/>
  <c r="G204" i="6"/>
  <c r="H204" i="6" s="1"/>
  <c r="G79" i="6"/>
  <c r="H79" i="6" s="1"/>
  <c r="G143" i="6"/>
  <c r="H143" i="6" s="1"/>
  <c r="G24" i="6"/>
  <c r="H24" i="6" s="1"/>
  <c r="G144" i="6"/>
  <c r="H144" i="6" s="1"/>
  <c r="G205" i="6"/>
  <c r="H205" i="6" s="1"/>
  <c r="G159" i="6"/>
  <c r="H159" i="6" s="1"/>
  <c r="G207" i="6"/>
  <c r="H207" i="6" s="1"/>
  <c r="G80" i="6"/>
  <c r="H80" i="6" s="1"/>
  <c r="G208" i="6"/>
  <c r="H208" i="6" s="1"/>
  <c r="G81" i="6"/>
  <c r="H81" i="6" s="1"/>
  <c r="G82" i="6"/>
  <c r="H82" i="6" s="1"/>
  <c r="G25" i="6"/>
  <c r="H25" i="6" s="1"/>
  <c r="G124" i="6"/>
  <c r="H124" i="6" s="1"/>
  <c r="G206" i="6"/>
  <c r="H206" i="6" s="1"/>
  <c r="G26" i="6"/>
  <c r="H26" i="6" s="1"/>
  <c r="G146" i="6"/>
  <c r="H146" i="6" s="1"/>
  <c r="G27" i="6"/>
  <c r="H27" i="6" s="1"/>
  <c r="G13" i="6"/>
  <c r="H13" i="6" s="1"/>
  <c r="G148" i="6"/>
  <c r="H148" i="6" s="1"/>
  <c r="G149" i="6"/>
  <c r="H149" i="6" s="1"/>
  <c r="G84" i="6"/>
  <c r="H84" i="6" s="1"/>
  <c r="G209" i="6"/>
  <c r="H209" i="6" s="1"/>
  <c r="G210" i="6"/>
  <c r="H210" i="6" s="1"/>
  <c r="G150" i="6"/>
  <c r="H150" i="6" s="1"/>
  <c r="G85" i="6"/>
  <c r="H85" i="6" s="1"/>
  <c r="G28" i="6"/>
  <c r="H28" i="6" s="1"/>
  <c r="G29" i="6"/>
  <c r="H29" i="6" s="1"/>
  <c r="G211" i="6"/>
  <c r="H211" i="6" s="1"/>
  <c r="G151" i="6"/>
  <c r="H151" i="6" s="1"/>
  <c r="G86" i="6"/>
  <c r="H86" i="6" s="1"/>
  <c r="G212" i="6"/>
  <c r="H212" i="6" s="1"/>
  <c r="G152" i="6"/>
  <c r="H152" i="6" s="1"/>
  <c r="G213" i="6"/>
  <c r="H213" i="6" s="1"/>
  <c r="G153" i="6"/>
  <c r="H153" i="6" s="1"/>
  <c r="G214" i="6"/>
  <c r="H214" i="6" s="1"/>
  <c r="G95" i="6"/>
  <c r="H95" i="6" s="1"/>
  <c r="G216" i="6"/>
  <c r="H216" i="6" s="1"/>
  <c r="G87" i="6"/>
  <c r="H87" i="6" s="1"/>
  <c r="G154" i="6"/>
  <c r="H154" i="6" s="1"/>
  <c r="G88" i="6"/>
  <c r="H88" i="6" s="1"/>
  <c r="G89" i="6"/>
  <c r="H89" i="6" s="1"/>
  <c r="G30" i="6"/>
  <c r="H30" i="6" s="1"/>
  <c r="G90" i="6"/>
  <c r="H90" i="6" s="1"/>
  <c r="G226" i="6"/>
  <c r="H226" i="6" s="1"/>
  <c r="G31" i="6"/>
  <c r="H31" i="6" s="1"/>
  <c r="G32" i="6"/>
  <c r="H32" i="6" s="1"/>
  <c r="G92" i="6"/>
  <c r="H92" i="6" s="1"/>
  <c r="G155" i="6"/>
  <c r="H155" i="6" s="1"/>
  <c r="G217" i="6"/>
  <c r="H217" i="6" s="1"/>
  <c r="G218" i="6"/>
  <c r="H218" i="6" s="1"/>
  <c r="G219" i="6"/>
  <c r="H219" i="6" s="1"/>
  <c r="G93" i="6"/>
  <c r="H93" i="6" s="1"/>
  <c r="G220" i="6"/>
  <c r="H220" i="6" s="1"/>
  <c r="G200" i="6"/>
  <c r="H200" i="6" s="1"/>
  <c r="G221" i="6"/>
  <c r="H221" i="6" s="1"/>
  <c r="G94" i="6"/>
  <c r="H94" i="6" s="1"/>
  <c r="G34" i="6"/>
  <c r="H34" i="6" s="1"/>
  <c r="G164" i="6"/>
  <c r="H164" i="6" s="1"/>
  <c r="G96" i="6"/>
  <c r="H96" i="6" s="1"/>
  <c r="G222" i="6"/>
  <c r="H222" i="6" s="1"/>
  <c r="G97" i="6"/>
  <c r="H97" i="6" s="1"/>
  <c r="G140" i="6"/>
  <c r="H140" i="6" s="1"/>
  <c r="G98" i="6"/>
  <c r="H98" i="6" s="1"/>
  <c r="G223" i="6"/>
  <c r="H223" i="6" s="1"/>
  <c r="G35" i="6"/>
  <c r="H35" i="6" s="1"/>
  <c r="G99" i="6"/>
  <c r="H99" i="6" s="1"/>
  <c r="G224" i="6"/>
  <c r="H224" i="6" s="1"/>
  <c r="G36" i="6"/>
  <c r="H36" i="6" s="1"/>
  <c r="G215" i="6"/>
  <c r="H215" i="6" s="1"/>
  <c r="G165" i="6"/>
  <c r="H165" i="6" s="1"/>
  <c r="G145" i="6"/>
  <c r="H145" i="6" s="1"/>
  <c r="G37" i="6"/>
  <c r="H37" i="6" s="1"/>
  <c r="G101" i="6"/>
  <c r="H101" i="6" s="1"/>
  <c r="G38" i="6"/>
  <c r="H38" i="6" s="1"/>
  <c r="G102" i="6"/>
  <c r="H102" i="6" s="1"/>
  <c r="G177" i="6"/>
  <c r="H177" i="6" s="1"/>
  <c r="G193" i="6"/>
  <c r="H193" i="6" s="1"/>
  <c r="G103" i="6"/>
  <c r="H103" i="6" s="1"/>
  <c r="G104" i="6"/>
  <c r="H104" i="6" s="1"/>
  <c r="G105" i="6"/>
  <c r="H105" i="6" s="1"/>
  <c r="G160" i="6"/>
  <c r="H160" i="6" s="1"/>
  <c r="G161" i="6"/>
  <c r="H161" i="6" s="1"/>
  <c r="G106" i="6"/>
  <c r="H106" i="6" s="1"/>
  <c r="G162" i="6"/>
  <c r="H162" i="6" s="1"/>
  <c r="G59" i="6"/>
  <c r="H59" i="6" s="1"/>
  <c r="G227" i="6"/>
  <c r="H227" i="6" s="1"/>
  <c r="G232" i="6"/>
  <c r="H232" i="6" s="1"/>
  <c r="G172" i="6"/>
  <c r="H172" i="6" s="1"/>
  <c r="G40" i="6"/>
  <c r="H40" i="6" s="1"/>
  <c r="G107" i="6"/>
  <c r="H107" i="6" s="1"/>
  <c r="G228" i="6"/>
  <c r="H228" i="6" s="1"/>
  <c r="G229" i="6"/>
  <c r="H229" i="6" s="1"/>
  <c r="G147" i="6"/>
  <c r="H147" i="6" s="1"/>
  <c r="G41" i="6"/>
  <c r="H41" i="6" s="1"/>
  <c r="G178" i="6"/>
  <c r="H178" i="6" s="1"/>
  <c r="G166" i="6"/>
  <c r="H166" i="6" s="1"/>
  <c r="G167" i="6"/>
  <c r="H167" i="6" s="1"/>
  <c r="G230" i="6"/>
  <c r="H230" i="6" s="1"/>
  <c r="G131" i="6"/>
  <c r="H131" i="6" s="1"/>
  <c r="G231" i="6"/>
  <c r="H231" i="6" s="1"/>
  <c r="G168" i="6"/>
  <c r="H168" i="6" s="1"/>
  <c r="G42" i="6"/>
  <c r="H42" i="6" s="1"/>
  <c r="G169" i="6"/>
  <c r="H169" i="6" s="1"/>
  <c r="G43" i="6"/>
  <c r="H43" i="6" s="1"/>
  <c r="G170" i="6"/>
  <c r="H170" i="6" s="1"/>
  <c r="G171" i="6"/>
  <c r="H171" i="6" s="1"/>
  <c r="G109" i="6"/>
  <c r="H109" i="6" s="1"/>
  <c r="G46" i="6"/>
  <c r="H46" i="6" s="1"/>
  <c r="G225" i="6"/>
  <c r="H225" i="6" s="1"/>
  <c r="G110" i="6"/>
  <c r="H110" i="6" s="1"/>
  <c r="G100" i="6"/>
  <c r="H100" i="6" s="1"/>
  <c r="G44" i="6"/>
  <c r="H44" i="6" s="1"/>
  <c r="G19" i="6"/>
  <c r="H19" i="6" s="1"/>
  <c r="G173" i="6"/>
  <c r="H173" i="6" s="1"/>
  <c r="G234" i="6"/>
  <c r="H234" i="6" s="1"/>
  <c r="G235" i="6"/>
  <c r="H235" i="6" s="1"/>
  <c r="G174" i="6"/>
  <c r="H174" i="6" s="1"/>
  <c r="G108" i="6"/>
  <c r="H108" i="6" s="1"/>
  <c r="G111" i="6"/>
  <c r="H111" i="6" s="1"/>
  <c r="G112" i="6"/>
  <c r="H112" i="6" s="1"/>
  <c r="G236" i="6"/>
  <c r="H236" i="6" s="1"/>
  <c r="G237" i="6"/>
  <c r="H237" i="6" s="1"/>
  <c r="G47" i="6"/>
  <c r="H47" i="6" s="1"/>
  <c r="G113" i="6"/>
  <c r="H113" i="6" s="1"/>
  <c r="G48" i="6"/>
  <c r="H48" i="6" s="1"/>
  <c r="G14" i="6"/>
  <c r="H14" i="6" s="1"/>
  <c r="G239" i="6"/>
  <c r="H239" i="6" s="1"/>
  <c r="G175" i="6"/>
  <c r="H175" i="6" s="1"/>
  <c r="G240" i="6"/>
  <c r="H240" i="6" s="1"/>
  <c r="G241" i="6"/>
  <c r="H241" i="6" s="1"/>
  <c r="G49" i="6"/>
  <c r="H49" i="6" s="1"/>
  <c r="G114" i="6"/>
  <c r="H114" i="6" s="1"/>
  <c r="G242" i="6"/>
  <c r="H242" i="6" s="1"/>
  <c r="G50" i="6"/>
  <c r="H50" i="6" s="1"/>
  <c r="G243" i="6"/>
  <c r="H243" i="6" s="1"/>
  <c r="G176" i="6"/>
  <c r="H176" i="6" s="1"/>
  <c r="L5" i="5"/>
  <c r="L6" i="5"/>
  <c r="L7" i="5"/>
  <c r="L8" i="5"/>
  <c r="L4" i="5"/>
  <c r="K8" i="5"/>
  <c r="K7" i="5"/>
  <c r="K6" i="5"/>
  <c r="K5" i="5"/>
  <c r="K4" i="5"/>
  <c r="I8" i="5"/>
  <c r="I7" i="5"/>
  <c r="I6" i="5"/>
  <c r="I5" i="5"/>
  <c r="I4" i="5"/>
  <c r="G8" i="5"/>
  <c r="G7" i="5"/>
  <c r="G6" i="5"/>
  <c r="G5" i="5"/>
  <c r="G4" i="5"/>
  <c r="E8" i="5"/>
  <c r="E7" i="5"/>
  <c r="E6" i="5"/>
  <c r="E5" i="5"/>
  <c r="E4" i="5"/>
  <c r="C5" i="5"/>
  <c r="C6" i="5"/>
  <c r="C7" i="5"/>
  <c r="C8" i="5"/>
  <c r="C4" i="5"/>
  <c r="M25" i="4"/>
  <c r="M24" i="4"/>
  <c r="J26" i="4"/>
  <c r="I26" i="4"/>
  <c r="H26" i="4"/>
  <c r="J25" i="4"/>
  <c r="I25" i="4"/>
  <c r="H25" i="4"/>
  <c r="J24" i="4"/>
  <c r="I24" i="4"/>
  <c r="H24" i="4"/>
  <c r="D24" i="4"/>
  <c r="E24" i="4"/>
  <c r="F24" i="4"/>
  <c r="D25" i="4"/>
  <c r="E25" i="4"/>
  <c r="F25" i="4"/>
  <c r="D26" i="4"/>
  <c r="E26" i="4"/>
  <c r="F26" i="4"/>
  <c r="C26" i="4"/>
  <c r="C25" i="4"/>
  <c r="C24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6" i="4"/>
  <c r="M7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6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6" i="4"/>
  <c r="K7" i="4"/>
  <c r="K8" i="4"/>
  <c r="M8" i="4" s="1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6" i="4"/>
  <c r="AG25" i="3" a="1"/>
  <c r="AG25" i="3" s="1"/>
  <c r="AH27" i="3" a="1"/>
  <c r="AH27" i="3" s="1"/>
  <c r="AG27" i="3" a="1"/>
  <c r="AG27" i="3" s="1"/>
  <c r="AG26" i="3" a="1"/>
  <c r="AG26" i="3"/>
  <c r="AH26" i="3" a="1"/>
  <c r="AH26" i="3" s="1"/>
  <c r="AH25" i="3" a="1"/>
  <c r="AH25" i="3" s="1"/>
  <c r="AD25" i="3"/>
  <c r="AD26" i="3"/>
  <c r="AD27" i="3"/>
  <c r="AD28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D28" i="3"/>
  <c r="D27" i="3"/>
  <c r="D26" i="3"/>
  <c r="D25" i="3"/>
  <c r="Y4" i="3"/>
  <c r="Z4" i="3"/>
  <c r="Z5" i="3"/>
  <c r="Z10" i="3"/>
  <c r="T4" i="3"/>
  <c r="W23" i="3"/>
  <c r="V23" i="3"/>
  <c r="U23" i="3"/>
  <c r="Z23" i="3" s="1"/>
  <c r="T23" i="3"/>
  <c r="Y23" i="3" s="1"/>
  <c r="W22" i="3"/>
  <c r="AB22" i="3" s="1"/>
  <c r="V22" i="3"/>
  <c r="AA22" i="3" s="1"/>
  <c r="U22" i="3"/>
  <c r="T22" i="3"/>
  <c r="Y22" i="3" s="1"/>
  <c r="W21" i="3"/>
  <c r="V21" i="3"/>
  <c r="AA21" i="3" s="1"/>
  <c r="U21" i="3"/>
  <c r="T21" i="3"/>
  <c r="Y21" i="3" s="1"/>
  <c r="W20" i="3"/>
  <c r="AB20" i="3" s="1"/>
  <c r="V20" i="3"/>
  <c r="AA20" i="3" s="1"/>
  <c r="U20" i="3"/>
  <c r="T20" i="3"/>
  <c r="W19" i="3"/>
  <c r="V19" i="3"/>
  <c r="U19" i="3"/>
  <c r="Z19" i="3" s="1"/>
  <c r="T19" i="3"/>
  <c r="W18" i="3"/>
  <c r="AB18" i="3" s="1"/>
  <c r="V18" i="3"/>
  <c r="AA18" i="3" s="1"/>
  <c r="U18" i="3"/>
  <c r="T18" i="3"/>
  <c r="Y18" i="3" s="1"/>
  <c r="W17" i="3"/>
  <c r="V17" i="3"/>
  <c r="U17" i="3"/>
  <c r="T17" i="3"/>
  <c r="Y17" i="3" s="1"/>
  <c r="W16" i="3"/>
  <c r="AB16" i="3" s="1"/>
  <c r="V16" i="3"/>
  <c r="AA16" i="3" s="1"/>
  <c r="U16" i="3"/>
  <c r="T16" i="3"/>
  <c r="W15" i="3"/>
  <c r="V15" i="3"/>
  <c r="U15" i="3"/>
  <c r="T15" i="3"/>
  <c r="Y15" i="3" s="1"/>
  <c r="W14" i="3"/>
  <c r="AB14" i="3" s="1"/>
  <c r="V14" i="3"/>
  <c r="AA14" i="3" s="1"/>
  <c r="U14" i="3"/>
  <c r="T14" i="3"/>
  <c r="Y14" i="3" s="1"/>
  <c r="W13" i="3"/>
  <c r="V13" i="3"/>
  <c r="U13" i="3"/>
  <c r="Z13" i="3" s="1"/>
  <c r="T13" i="3"/>
  <c r="W12" i="3"/>
  <c r="AB12" i="3" s="1"/>
  <c r="V12" i="3"/>
  <c r="AA12" i="3" s="1"/>
  <c r="U12" i="3"/>
  <c r="T12" i="3"/>
  <c r="W11" i="3"/>
  <c r="V11" i="3"/>
  <c r="U11" i="3"/>
  <c r="Z11" i="3" s="1"/>
  <c r="T11" i="3"/>
  <c r="Y11" i="3" s="1"/>
  <c r="W10" i="3"/>
  <c r="AB10" i="3" s="1"/>
  <c r="V10" i="3"/>
  <c r="AA10" i="3" s="1"/>
  <c r="U10" i="3"/>
  <c r="T10" i="3"/>
  <c r="Y10" i="3" s="1"/>
  <c r="W9" i="3"/>
  <c r="V9" i="3"/>
  <c r="U9" i="3"/>
  <c r="Z9" i="3" s="1"/>
  <c r="T9" i="3"/>
  <c r="W8" i="3"/>
  <c r="AB8" i="3" s="1"/>
  <c r="V8" i="3"/>
  <c r="AA8" i="3" s="1"/>
  <c r="U8" i="3"/>
  <c r="T8" i="3"/>
  <c r="W7" i="3"/>
  <c r="V7" i="3"/>
  <c r="U7" i="3"/>
  <c r="T7" i="3"/>
  <c r="W6" i="3"/>
  <c r="AB6" i="3" s="1"/>
  <c r="V6" i="3"/>
  <c r="AA6" i="3" s="1"/>
  <c r="U6" i="3"/>
  <c r="T6" i="3"/>
  <c r="Y6" i="3" s="1"/>
  <c r="W5" i="3"/>
  <c r="V5" i="3"/>
  <c r="U5" i="3"/>
  <c r="T5" i="3"/>
  <c r="Y5" i="3" s="1"/>
  <c r="W4" i="3"/>
  <c r="AB4" i="3" s="1"/>
  <c r="V4" i="3"/>
  <c r="AA4" i="3" s="1"/>
  <c r="U4" i="3"/>
  <c r="AB5" i="3"/>
  <c r="Y7" i="3"/>
  <c r="AA7" i="3"/>
  <c r="AB7" i="3"/>
  <c r="Y9" i="3"/>
  <c r="AB9" i="3"/>
  <c r="AA11" i="3"/>
  <c r="AB11" i="3"/>
  <c r="Y13" i="3"/>
  <c r="AB13" i="3"/>
  <c r="AA15" i="3"/>
  <c r="AB15" i="3"/>
  <c r="AB17" i="3"/>
  <c r="Y19" i="3"/>
  <c r="AA19" i="3"/>
  <c r="AB19" i="3"/>
  <c r="AB21" i="3"/>
  <c r="AA23" i="3"/>
  <c r="AB23" i="3"/>
  <c r="AA5" i="3"/>
  <c r="Z7" i="3"/>
  <c r="AA9" i="3"/>
  <c r="AA13" i="3"/>
  <c r="Z15" i="3"/>
  <c r="Z17" i="3"/>
  <c r="AA17" i="3"/>
  <c r="Z21" i="3"/>
  <c r="S5" i="3"/>
  <c r="S6" i="3"/>
  <c r="S7" i="3"/>
  <c r="X7" i="3" s="1"/>
  <c r="S8" i="3"/>
  <c r="X8" i="3" s="1"/>
  <c r="S9" i="3"/>
  <c r="X9" i="3" s="1"/>
  <c r="S10" i="3"/>
  <c r="X10" i="3" s="1"/>
  <c r="S11" i="3"/>
  <c r="X11" i="3" s="1"/>
  <c r="S12" i="3"/>
  <c r="X12" i="3" s="1"/>
  <c r="S13" i="3"/>
  <c r="S14" i="3"/>
  <c r="S15" i="3"/>
  <c r="S16" i="3"/>
  <c r="S17" i="3"/>
  <c r="X17" i="3" s="1"/>
  <c r="S18" i="3"/>
  <c r="X18" i="3" s="1"/>
  <c r="S19" i="3"/>
  <c r="X19" i="3" s="1"/>
  <c r="S20" i="3"/>
  <c r="X20" i="3" s="1"/>
  <c r="S21" i="3"/>
  <c r="S22" i="3"/>
  <c r="S23" i="3"/>
  <c r="S4" i="3"/>
  <c r="X4" i="3" s="1"/>
  <c r="Z6" i="3"/>
  <c r="Y8" i="3"/>
  <c r="Z8" i="3"/>
  <c r="Y12" i="3"/>
  <c r="Z12" i="3"/>
  <c r="Z14" i="3"/>
  <c r="Y16" i="3"/>
  <c r="Z16" i="3"/>
  <c r="Z18" i="3"/>
  <c r="Y20" i="3"/>
  <c r="Z20" i="3"/>
  <c r="Z22" i="3"/>
  <c r="X5" i="3"/>
  <c r="X6" i="3"/>
  <c r="X13" i="3"/>
  <c r="X14" i="3"/>
  <c r="X15" i="3"/>
  <c r="X16" i="3"/>
  <c r="X21" i="3"/>
  <c r="X22" i="3"/>
  <c r="X23" i="3"/>
  <c r="O4" i="3"/>
  <c r="P4" i="3"/>
  <c r="Q4" i="3"/>
  <c r="R4" i="3"/>
  <c r="O5" i="3"/>
  <c r="P5" i="3"/>
  <c r="Q5" i="3"/>
  <c r="R5" i="3"/>
  <c r="O6" i="3"/>
  <c r="P6" i="3"/>
  <c r="Q6" i="3"/>
  <c r="R6" i="3"/>
  <c r="O7" i="3"/>
  <c r="P7" i="3"/>
  <c r="Q7" i="3"/>
  <c r="R7" i="3"/>
  <c r="O8" i="3"/>
  <c r="P8" i="3"/>
  <c r="Q8" i="3"/>
  <c r="R8" i="3"/>
  <c r="O9" i="3"/>
  <c r="P9" i="3"/>
  <c r="Q9" i="3"/>
  <c r="R9" i="3"/>
  <c r="O10" i="3"/>
  <c r="P10" i="3"/>
  <c r="Q10" i="3"/>
  <c r="R10" i="3"/>
  <c r="O11" i="3"/>
  <c r="P11" i="3"/>
  <c r="Q11" i="3"/>
  <c r="R11" i="3"/>
  <c r="O12" i="3"/>
  <c r="P12" i="3"/>
  <c r="Q12" i="3"/>
  <c r="R12" i="3"/>
  <c r="O13" i="3"/>
  <c r="P13" i="3"/>
  <c r="Q13" i="3"/>
  <c r="R13" i="3"/>
  <c r="O14" i="3"/>
  <c r="P14" i="3"/>
  <c r="Q14" i="3"/>
  <c r="R14" i="3"/>
  <c r="O15" i="3"/>
  <c r="P15" i="3"/>
  <c r="Q15" i="3"/>
  <c r="R15" i="3"/>
  <c r="O16" i="3"/>
  <c r="P16" i="3"/>
  <c r="Q16" i="3"/>
  <c r="R16" i="3"/>
  <c r="O17" i="3"/>
  <c r="P17" i="3"/>
  <c r="Q17" i="3"/>
  <c r="R17" i="3"/>
  <c r="O18" i="3"/>
  <c r="P18" i="3"/>
  <c r="Q18" i="3"/>
  <c r="R18" i="3"/>
  <c r="O19" i="3"/>
  <c r="P19" i="3"/>
  <c r="Q19" i="3"/>
  <c r="R19" i="3"/>
  <c r="O20" i="3"/>
  <c r="P20" i="3"/>
  <c r="Q20" i="3"/>
  <c r="R20" i="3"/>
  <c r="O21" i="3"/>
  <c r="P21" i="3"/>
  <c r="Q21" i="3"/>
  <c r="R21" i="3"/>
  <c r="O22" i="3"/>
  <c r="P22" i="3"/>
  <c r="Q22" i="3"/>
  <c r="R22" i="3"/>
  <c r="O23" i="3"/>
  <c r="P23" i="3"/>
  <c r="Q23" i="3"/>
  <c r="R23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K4" i="3"/>
  <c r="L4" i="3"/>
  <c r="M4" i="3"/>
  <c r="K5" i="3"/>
  <c r="L5" i="3"/>
  <c r="M5" i="3"/>
  <c r="K6" i="3"/>
  <c r="L6" i="3"/>
  <c r="M6" i="3"/>
  <c r="K7" i="3"/>
  <c r="L7" i="3"/>
  <c r="M7" i="3"/>
  <c r="K8" i="3"/>
  <c r="L8" i="3"/>
  <c r="M8" i="3"/>
  <c r="K9" i="3"/>
  <c r="L9" i="3"/>
  <c r="M9" i="3"/>
  <c r="K10" i="3"/>
  <c r="L10" i="3"/>
  <c r="M10" i="3"/>
  <c r="K11" i="3"/>
  <c r="L11" i="3"/>
  <c r="M11" i="3"/>
  <c r="K12" i="3"/>
  <c r="L12" i="3"/>
  <c r="M12" i="3"/>
  <c r="K13" i="3"/>
  <c r="L13" i="3"/>
  <c r="M13" i="3"/>
  <c r="K14" i="3"/>
  <c r="L14" i="3"/>
  <c r="M14" i="3"/>
  <c r="K15" i="3"/>
  <c r="L15" i="3"/>
  <c r="M15" i="3"/>
  <c r="K16" i="3"/>
  <c r="L16" i="3"/>
  <c r="M16" i="3"/>
  <c r="K17" i="3"/>
  <c r="L17" i="3"/>
  <c r="M17" i="3"/>
  <c r="K18" i="3"/>
  <c r="L18" i="3"/>
  <c r="M18" i="3"/>
  <c r="K19" i="3"/>
  <c r="L19" i="3"/>
  <c r="M19" i="3"/>
  <c r="K20" i="3"/>
  <c r="L20" i="3"/>
  <c r="M20" i="3"/>
  <c r="K21" i="3"/>
  <c r="L21" i="3"/>
  <c r="M21" i="3"/>
  <c r="K22" i="3"/>
  <c r="L22" i="3"/>
  <c r="M22" i="3"/>
  <c r="K23" i="3"/>
  <c r="L23" i="3"/>
  <c r="M23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4" i="3"/>
  <c r="E3" i="3"/>
  <c r="F3" i="3" s="1"/>
  <c r="G3" i="3" s="1"/>
  <c r="H3" i="3" s="1"/>
  <c r="G22" i="1"/>
  <c r="H22" i="1"/>
  <c r="G23" i="1"/>
  <c r="H23" i="1"/>
  <c r="G24" i="1"/>
  <c r="H24" i="1"/>
  <c r="G25" i="1"/>
  <c r="H25" i="1"/>
  <c r="F23" i="1"/>
  <c r="F24" i="1"/>
  <c r="F2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D25" i="1"/>
  <c r="D22" i="1"/>
  <c r="F22" i="1"/>
  <c r="D23" i="1"/>
  <c r="D24" i="1"/>
  <c r="C24" i="1"/>
  <c r="C23" i="1"/>
  <c r="C2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L18" i="12" l="1"/>
  <c r="L6" i="12"/>
  <c r="L11" i="12"/>
  <c r="L7" i="12"/>
  <c r="M5" i="12"/>
  <c r="M9" i="12"/>
  <c r="M13" i="12"/>
  <c r="L14" i="12"/>
  <c r="L9" i="12"/>
  <c r="N9" i="12"/>
  <c r="T13" i="12"/>
  <c r="M17" i="12"/>
  <c r="M16" i="12"/>
  <c r="L8" i="12"/>
  <c r="N18" i="12"/>
  <c r="M7" i="12"/>
  <c r="N17" i="12"/>
  <c r="N14" i="12"/>
  <c r="N15" i="12"/>
  <c r="M6" i="12"/>
  <c r="L17" i="12"/>
  <c r="N13" i="12"/>
  <c r="L16" i="12"/>
  <c r="N8" i="12"/>
  <c r="L15" i="12"/>
  <c r="L5" i="12"/>
  <c r="M8" i="12"/>
  <c r="L12" i="12"/>
  <c r="M11" i="12"/>
  <c r="L13" i="12"/>
  <c r="M18" i="12"/>
  <c r="N10" i="12"/>
  <c r="R10" i="12"/>
  <c r="S6" i="12"/>
  <c r="N16" i="12"/>
  <c r="N5" i="12"/>
  <c r="T9" i="12"/>
  <c r="R5" i="12"/>
  <c r="L4" i="12"/>
  <c r="R4" i="12"/>
  <c r="S11" i="12"/>
  <c r="T14" i="12"/>
  <c r="T10" i="12"/>
  <c r="R8" i="12"/>
  <c r="S10" i="12"/>
  <c r="R7" i="12"/>
  <c r="S4" i="12"/>
  <c r="S14" i="12"/>
  <c r="R12" i="12"/>
  <c r="T6" i="12"/>
  <c r="R14" i="12"/>
  <c r="R11" i="12"/>
  <c r="S9" i="12"/>
  <c r="R6" i="12"/>
  <c r="S12" i="12"/>
  <c r="R9" i="12"/>
  <c r="T7" i="12"/>
  <c r="S7" i="12"/>
  <c r="T5" i="12"/>
  <c r="S5" i="12"/>
  <c r="S13" i="12"/>
  <c r="R13" i="12"/>
  <c r="T11" i="12"/>
  <c r="S8" i="12"/>
  <c r="T8" i="12"/>
  <c r="M10" i="12"/>
  <c r="L10" i="12"/>
  <c r="N12" i="12"/>
  <c r="M12" i="12"/>
  <c r="N11" i="12"/>
  <c r="N4" i="12"/>
  <c r="I6" i="8"/>
  <c r="I8" i="8"/>
  <c r="I26" i="8"/>
  <c r="I33" i="8"/>
  <c r="I38" i="8"/>
  <c r="I21" i="8"/>
  <c r="I40" i="8"/>
  <c r="I49" i="8"/>
  <c r="I5" i="8"/>
  <c r="I30" i="8"/>
  <c r="I32" i="8"/>
  <c r="I37" i="8"/>
  <c r="I39" i="8"/>
  <c r="I46" i="8"/>
  <c r="I10" i="8"/>
  <c r="I18" i="8"/>
  <c r="I42" i="8"/>
  <c r="I25" i="8"/>
  <c r="I9" i="8"/>
  <c r="I17" i="8"/>
  <c r="I22" i="8"/>
  <c r="I34" i="8"/>
  <c r="I41" i="8"/>
  <c r="I48" i="8"/>
  <c r="L19" i="12" l="1"/>
  <c r="M19" i="12"/>
  <c r="R15" i="12"/>
  <c r="S15" i="12"/>
  <c r="T15" i="12"/>
  <c r="N19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<sst xmlns="http://schemas.openxmlformats.org/spreadsheetml/2006/main" count="1857" uniqueCount="365">
  <si>
    <t>Last Name</t>
  </si>
  <si>
    <t>First Name</t>
  </si>
  <si>
    <t>Hourly Wage</t>
  </si>
  <si>
    <t>Kern</t>
  </si>
  <si>
    <t>Jon</t>
  </si>
  <si>
    <t>Howard</t>
  </si>
  <si>
    <t>Glenda</t>
  </si>
  <si>
    <t>O'Donnald</t>
  </si>
  <si>
    <t>Ron</t>
  </si>
  <si>
    <t>Hernandez</t>
  </si>
  <si>
    <t>Wendy</t>
  </si>
  <si>
    <t>Smith</t>
  </si>
  <si>
    <t>Paul</t>
  </si>
  <si>
    <t>Baker</t>
  </si>
  <si>
    <t>Tom</t>
  </si>
  <si>
    <t>Velinda</t>
  </si>
  <si>
    <t>Nancy</t>
  </si>
  <si>
    <t>Carnehah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</si>
  <si>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</si>
  <si>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</si>
  <si>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</si>
  <si>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</si>
  <si>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</si>
  <si>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</si>
  <si>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</si>
  <si>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</si>
  <si>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</si>
  <si>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</si>
  <si>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</si>
  <si>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</si>
  <si>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</si>
  <si>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</si>
  <si>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</si>
  <si>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</si>
  <si>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</si>
  <si>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</si>
  <si>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</si>
  <si>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Hours Worked</t>
  </si>
  <si>
    <t>Pay</t>
  </si>
  <si>
    <t>Employee Payroll</t>
  </si>
  <si>
    <t>Max</t>
  </si>
  <si>
    <t>Min</t>
  </si>
  <si>
    <t>Avg</t>
  </si>
  <si>
    <t>Total</t>
  </si>
  <si>
    <t>Overtime hours</t>
  </si>
  <si>
    <t>Overtime Bonus</t>
  </si>
  <si>
    <t>Total pay</t>
  </si>
  <si>
    <t>OT Bonus</t>
  </si>
  <si>
    <t>Total Pay</t>
  </si>
  <si>
    <t>James</t>
  </si>
  <si>
    <t>Johnson</t>
  </si>
  <si>
    <t>Mary</t>
  </si>
  <si>
    <t>Williams</t>
  </si>
  <si>
    <t>Robert</t>
  </si>
  <si>
    <t>Brown</t>
  </si>
  <si>
    <t>Patricia</t>
  </si>
  <si>
    <t>Jones</t>
  </si>
  <si>
    <t>John</t>
  </si>
  <si>
    <t>Garcia</t>
  </si>
  <si>
    <t>Jennifer</t>
  </si>
  <si>
    <t>Miller</t>
  </si>
  <si>
    <t>Michael</t>
  </si>
  <si>
    <t>Davis</t>
  </si>
  <si>
    <t>Rodriguez</t>
  </si>
  <si>
    <t>David</t>
  </si>
  <si>
    <t>Martinez</t>
  </si>
  <si>
    <t>Barbara</t>
  </si>
  <si>
    <t>Daniel</t>
  </si>
  <si>
    <t>Lopez</t>
  </si>
  <si>
    <t>Elizabeth</t>
  </si>
  <si>
    <t>Gonzalez</t>
  </si>
  <si>
    <t>Matthew</t>
  </si>
  <si>
    <t>Wilson</t>
  </si>
  <si>
    <t>Susan</t>
  </si>
  <si>
    <t>Anderson</t>
  </si>
  <si>
    <t>Christopher</t>
  </si>
  <si>
    <t>Thomas</t>
  </si>
  <si>
    <t>Margaret</t>
  </si>
  <si>
    <t>Taylor</t>
  </si>
  <si>
    <t>Moore</t>
  </si>
  <si>
    <t>Jessica</t>
  </si>
  <si>
    <t>Jackson</t>
  </si>
  <si>
    <t>George</t>
  </si>
  <si>
    <t>Martin</t>
  </si>
  <si>
    <t>Sarah</t>
  </si>
  <si>
    <t>Overtime Hours</t>
  </si>
  <si>
    <t xml:space="preserve">Max </t>
  </si>
  <si>
    <t>January Pay</t>
  </si>
  <si>
    <t>Top Earner</t>
  </si>
  <si>
    <t>Least Earner</t>
  </si>
  <si>
    <t>Emp earning around avg</t>
  </si>
  <si>
    <t>Safety Test (10)</t>
  </si>
  <si>
    <t>Company Philosophy Test (20)</t>
  </si>
  <si>
    <t>Financial Skills Test (100)</t>
  </si>
  <si>
    <t>Grade Book</t>
  </si>
  <si>
    <t xml:space="preserve">Drug Test </t>
  </si>
  <si>
    <t>Points Possible</t>
  </si>
  <si>
    <t>1/0</t>
  </si>
  <si>
    <t>Fire Emp?</t>
  </si>
  <si>
    <t>max</t>
  </si>
  <si>
    <t>min</t>
  </si>
  <si>
    <t>avg</t>
  </si>
  <si>
    <t xml:space="preserve">PASS </t>
  </si>
  <si>
    <t>FAIL</t>
  </si>
  <si>
    <t>Career Decision Maker</t>
  </si>
  <si>
    <t xml:space="preserve">Job </t>
  </si>
  <si>
    <t>Mc.Donalds Mngr</t>
  </si>
  <si>
    <t>Doctor</t>
  </si>
  <si>
    <t>Engineer</t>
  </si>
  <si>
    <t>SQL dev</t>
  </si>
  <si>
    <t>Job Market</t>
  </si>
  <si>
    <t>Enjoyment</t>
  </si>
  <si>
    <t>my talent</t>
  </si>
  <si>
    <t>schooling</t>
  </si>
  <si>
    <t>NFL Player</t>
  </si>
  <si>
    <t>Month</t>
  </si>
  <si>
    <t>Transaction #</t>
  </si>
  <si>
    <t>Product Code</t>
  </si>
  <si>
    <t>Product Description</t>
  </si>
  <si>
    <t>Store Cost</t>
  </si>
  <si>
    <t>Sale Price</t>
  </si>
  <si>
    <t>Profit</t>
  </si>
  <si>
    <t>Sale Location</t>
  </si>
  <si>
    <t>Jan</t>
  </si>
  <si>
    <t>8 ft Hose</t>
  </si>
  <si>
    <t>CA</t>
  </si>
  <si>
    <t>Chlorine Test Kit</t>
  </si>
  <si>
    <t>NM</t>
  </si>
  <si>
    <t>Skimmer</t>
  </si>
  <si>
    <t>AZ</t>
  </si>
  <si>
    <t>1 Gal Muratic Acid</t>
  </si>
  <si>
    <t>Pool Cover</t>
  </si>
  <si>
    <t>CO</t>
  </si>
  <si>
    <t>UT</t>
  </si>
  <si>
    <t>Water Pump</t>
  </si>
  <si>
    <t>NV</t>
  </si>
  <si>
    <t>Net</t>
  </si>
  <si>
    <t>AutoVac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</si>
  <si>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</si>
  <si>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</si>
  <si>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</si>
  <si>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</si>
  <si>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</si>
  <si>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</si>
  <si>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</si>
  <si>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</si>
  <si>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</si>
  <si>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</si>
  <si>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</si>
  <si>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Commission 10% for items less than $50, 20% for items more than $50</t>
  </si>
  <si>
    <t>Doug</t>
  </si>
  <si>
    <t>Juan</t>
  </si>
  <si>
    <t>Hernancz</t>
  </si>
  <si>
    <t>Charlie</t>
  </si>
  <si>
    <t>Barns</t>
  </si>
  <si>
    <t>Helen</t>
  </si>
  <si>
    <t>Last name</t>
  </si>
  <si>
    <t>First name</t>
  </si>
  <si>
    <t>sum of all items</t>
  </si>
  <si>
    <t>sum of items values more than $50</t>
  </si>
  <si>
    <t>sum of items valued at 50 or less</t>
  </si>
  <si>
    <t>Row Labels</t>
  </si>
  <si>
    <t>Grand Total</t>
  </si>
  <si>
    <t>Sum of Sale Price</t>
  </si>
  <si>
    <t>Sum of Profit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</si>
  <si>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</si>
  <si>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</si>
  <si>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</si>
  <si>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</si>
  <si>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</si>
  <si>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</si>
  <si>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</si>
  <si>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</si>
  <si>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</si>
  <si>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</si>
  <si>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</si>
  <si>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</si>
  <si>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</si>
  <si>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</si>
  <si>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</si>
  <si>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</si>
  <si>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FD06MTG002</t>
  </si>
  <si>
    <t>White</t>
  </si>
  <si>
    <t>McCall</t>
  </si>
  <si>
    <t>FD08MTG003</t>
  </si>
  <si>
    <t>Green</t>
  </si>
  <si>
    <t>Lyon</t>
  </si>
  <si>
    <t>FD08MTG004</t>
  </si>
  <si>
    <t>FD08MTG005</t>
  </si>
  <si>
    <t>FD06FCS006</t>
  </si>
  <si>
    <t>Ewenty</t>
  </si>
  <si>
    <t>FD06FCS007</t>
  </si>
  <si>
    <t>FD09FCS008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</si>
  <si>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</si>
  <si>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</si>
  <si>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</si>
  <si>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</si>
  <si>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</si>
  <si>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</si>
  <si>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</si>
  <si>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</si>
  <si>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GM09CMR014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</si>
  <si>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</si>
  <si>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</si>
  <si>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</si>
  <si>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</si>
  <si>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</si>
  <si>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</si>
  <si>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</si>
  <si>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</si>
  <si>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</si>
  <si>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</si>
  <si>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</si>
  <si>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</si>
  <si>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</si>
  <si>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</si>
  <si>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</si>
  <si>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</si>
  <si>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</si>
  <si>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</si>
  <si>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</si>
  <si>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</si>
  <si>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</si>
  <si>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</si>
  <si>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</si>
  <si>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</si>
  <si>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</si>
  <si>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</si>
  <si>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</si>
  <si>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</si>
  <si>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</si>
  <si>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</si>
  <si>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</si>
  <si>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HO05ODY037</t>
  </si>
  <si>
    <t>HO07ODY038</t>
  </si>
  <si>
    <t>HO08ODY039</t>
  </si>
  <si>
    <t>HO01ODY040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</si>
  <si>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</si>
  <si>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</si>
  <si>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</si>
  <si>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</si>
  <si>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</si>
  <si>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</si>
  <si>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</si>
  <si>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</si>
  <si>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</si>
  <si>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</si>
  <si>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</si>
  <si>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</si>
  <si>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</si>
  <si>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Chrysler</t>
  </si>
  <si>
    <t>FD</t>
  </si>
  <si>
    <t>Ford</t>
  </si>
  <si>
    <t>GM</t>
  </si>
  <si>
    <t>General Motors</t>
  </si>
  <si>
    <t>HO</t>
  </si>
  <si>
    <t>Honda</t>
  </si>
  <si>
    <t>HY</t>
  </si>
  <si>
    <t>Hundai</t>
  </si>
  <si>
    <t>TY</t>
  </si>
  <si>
    <t>Toyota</t>
  </si>
  <si>
    <t>CAM</t>
  </si>
  <si>
    <t>Camrey</t>
  </si>
  <si>
    <t>CAR</t>
  </si>
  <si>
    <t>Caravan</t>
  </si>
  <si>
    <t>CIV</t>
  </si>
  <si>
    <t>Civic</t>
  </si>
  <si>
    <t>CMR</t>
  </si>
  <si>
    <t>Camero</t>
  </si>
  <si>
    <t>COR</t>
  </si>
  <si>
    <t>Corola</t>
  </si>
  <si>
    <t>ELA</t>
  </si>
  <si>
    <t>Elantra</t>
  </si>
  <si>
    <t>FCS</t>
  </si>
  <si>
    <t>Focus</t>
  </si>
  <si>
    <t>MTG</t>
  </si>
  <si>
    <t>Mustang</t>
  </si>
  <si>
    <t>ODY</t>
  </si>
  <si>
    <t>Odyssey</t>
  </si>
  <si>
    <t>PTC</t>
  </si>
  <si>
    <t>PT Cruiser</t>
  </si>
  <si>
    <t>SLV</t>
  </si>
  <si>
    <t>Silverado</t>
  </si>
  <si>
    <t>Car Details :</t>
  </si>
  <si>
    <t>Insured?</t>
  </si>
  <si>
    <t>INFO FINDER :</t>
  </si>
  <si>
    <t>Bard Total</t>
  </si>
  <si>
    <t>Chan Total</t>
  </si>
  <si>
    <t>Ewenty Total</t>
  </si>
  <si>
    <t>Gaul Total</t>
  </si>
  <si>
    <t>Howard Total</t>
  </si>
  <si>
    <t>Hulinski Total</t>
  </si>
  <si>
    <t>Jones Total</t>
  </si>
  <si>
    <t>Lyon Total</t>
  </si>
  <si>
    <t>McCall Total</t>
  </si>
  <si>
    <t>Praulty Total</t>
  </si>
  <si>
    <t>Rodriguez Total</t>
  </si>
  <si>
    <t>Santos Total</t>
  </si>
  <si>
    <t>Smith Total</t>
  </si>
  <si>
    <t>Swartz Total</t>
  </si>
  <si>
    <t>Torrens Total</t>
  </si>
  <si>
    <t>Vizzini Total</t>
  </si>
  <si>
    <t>Yousef Total</t>
  </si>
  <si>
    <t>Customer Transcations:</t>
  </si>
  <si>
    <t>Driver Names:</t>
  </si>
  <si>
    <t xml:space="preserve">LOOKUP  REFERENCE TABLE : </t>
  </si>
  <si>
    <t xml:space="preserve">CHOOSE DRIVER NAME </t>
  </si>
  <si>
    <t>Driver :</t>
  </si>
  <si>
    <t xml:space="preserve">Car ID/IDs: </t>
  </si>
  <si>
    <t>Sum of Miles</t>
  </si>
  <si>
    <t>Principal</t>
  </si>
  <si>
    <t>Interest Rate</t>
  </si>
  <si>
    <t>Months</t>
  </si>
  <si>
    <t>Monthly Payments</t>
  </si>
  <si>
    <t>Loan A</t>
  </si>
  <si>
    <t>Loan B</t>
  </si>
  <si>
    <t>Loan C</t>
  </si>
  <si>
    <t>Loan D</t>
  </si>
  <si>
    <t>Interest Paid</t>
  </si>
  <si>
    <t>Total Loan Paid</t>
  </si>
  <si>
    <t>Stapler</t>
  </si>
  <si>
    <t>Protractor</t>
  </si>
  <si>
    <t>Compass</t>
  </si>
  <si>
    <t>Liquid Paper</t>
  </si>
  <si>
    <t>1 Compass</t>
  </si>
  <si>
    <t>1 Protractor</t>
  </si>
  <si>
    <t>1 Planner Book</t>
  </si>
  <si>
    <t>Planner Book</t>
  </si>
  <si>
    <t>1 Stapler</t>
  </si>
  <si>
    <t>8 Color Markers</t>
  </si>
  <si>
    <t>1 USB Stick 5gb</t>
  </si>
  <si>
    <t>USB Stick 5gb</t>
  </si>
  <si>
    <t>4 2 inch binders</t>
  </si>
  <si>
    <t>2 inch binder</t>
  </si>
  <si>
    <t>10 No. 2 Pencils</t>
  </si>
  <si>
    <t>2 Erasers</t>
  </si>
  <si>
    <t>Eraser</t>
  </si>
  <si>
    <t>Clear tape</t>
  </si>
  <si>
    <t>8 oz Glue</t>
  </si>
  <si>
    <t>7 100 page notebooks</t>
  </si>
  <si>
    <t>100 page notebook</t>
  </si>
  <si>
    <t>1 TI-35 Calculator</t>
  </si>
  <si>
    <t>TI-35 Calculator</t>
  </si>
  <si>
    <t>3 Ball Point Pens</t>
  </si>
  <si>
    <t>Ball Point Pen</t>
  </si>
  <si>
    <t>Office Repo</t>
  </si>
  <si>
    <t>Dollar Trap</t>
  </si>
  <si>
    <t>Walt-Mart</t>
  </si>
  <si>
    <t>count</t>
  </si>
  <si>
    <t>Susan’s Shopping List</t>
  </si>
  <si>
    <t>Item</t>
  </si>
  <si>
    <t xml:space="preserve">TOTAL : </t>
  </si>
  <si>
    <t>Tim’s Shopping List</t>
  </si>
  <si>
    <t>5 Ball Point Pens</t>
  </si>
  <si>
    <t>4 100 page notebooks</t>
  </si>
  <si>
    <t>1 2 inch binders</t>
  </si>
  <si>
    <t>No. 2 Pencils</t>
  </si>
  <si>
    <t>1 Liquid Paper</t>
  </si>
  <si>
    <t>1 8 Color Markers</t>
  </si>
  <si>
    <t>2 clear tape</t>
  </si>
  <si>
    <t>1 8 oz Glue</t>
  </si>
  <si>
    <t>2 Liquid Paper</t>
  </si>
  <si>
    <t>2 8 oz Glue</t>
  </si>
  <si>
    <t>sum of filtererd data (price):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</si>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</sst>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£&quot;* #,##0.00_);_(&quot;£&quot;* \(#,##0.00\);_(&quot;£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77" formatCode="&quot;£&quot;#,##0.00"/>
    <numFmt numFmtId="178" formatCode="[$$-409]#,##0.00"/>
    <numFmt numFmtId="179" formatCode="[$$-540A]#,##0.00"/>
  </numFmts>
  <fonts count="3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theme="9" tint="-0.499984740745262"/>
      <name val="Aptos Narrow"/>
      <family val="2"/>
      <scheme val="minor"/>
    </font>
    <font>
      <sz val="14"/>
      <color theme="1"/>
      <name val="Aptos Narrow (Body)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6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6"/>
      <name val="Aptos Narrow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D6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B4D2"/>
        <bgColor indexed="64"/>
      </patternFill>
    </fill>
    <fill>
      <patternFill patternType="solid">
        <fgColor rgb="FFFAFF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8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5" fontId="16" fillId="34" borderId="0" xfId="0" applyNumberFormat="1" applyFont="1" applyFill="1"/>
    <xf numFmtId="0" fontId="0" fillId="34" borderId="0" xfId="0" applyFill="1"/>
    <xf numFmtId="15" fontId="16" fillId="36" borderId="0" xfId="0" applyNumberFormat="1" applyFont="1" applyFill="1"/>
    <xf numFmtId="0" fontId="0" fillId="36" borderId="0" xfId="0" applyFill="1"/>
    <xf numFmtId="15" fontId="16" fillId="37" borderId="0" xfId="0" applyNumberFormat="1" applyFont="1" applyFill="1"/>
    <xf numFmtId="0" fontId="0" fillId="37" borderId="0" xfId="0" applyFill="1"/>
    <xf numFmtId="15" fontId="18" fillId="38" borderId="0" xfId="0" applyNumberFormat="1" applyFont="1" applyFill="1"/>
    <xf numFmtId="0" fontId="0" fillId="38" borderId="0" xfId="0" applyFill="1"/>
    <xf numFmtId="15" fontId="18" fillId="39" borderId="0" xfId="0" applyNumberFormat="1" applyFont="1" applyFill="1"/>
    <xf numFmtId="0" fontId="0" fillId="39" borderId="0" xfId="0" applyFill="1"/>
    <xf numFmtId="0" fontId="19" fillId="40" borderId="0" xfId="0" applyFont="1" applyFill="1"/>
    <xf numFmtId="0" fontId="16" fillId="41" borderId="0" xfId="0" applyFont="1" applyFill="1"/>
    <xf numFmtId="0" fontId="0" fillId="41" borderId="0" xfId="0" applyFill="1"/>
    <xf numFmtId="0" fontId="0" fillId="0" borderId="0" xfId="0" applyAlignment="1">
      <alignment wrapText="1"/>
    </xf>
    <xf numFmtId="0" fontId="0" fillId="46" borderId="0" xfId="0" applyFill="1"/>
    <xf numFmtId="0" fontId="0" fillId="0" borderId="0" xfId="0" applyFill="1"/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7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3" fontId="0" fillId="0" borderId="0" xfId="1" applyFont="1"/>
    <xf numFmtId="0" fontId="0" fillId="42" borderId="0" xfId="0" applyFill="1"/>
    <xf numFmtId="0" fontId="20" fillId="46" borderId="0" xfId="0" applyFont="1" applyFill="1"/>
    <xf numFmtId="0" fontId="0" fillId="48" borderId="0" xfId="0" applyFill="1"/>
    <xf numFmtId="2" fontId="0" fillId="48" borderId="0" xfId="0" applyNumberFormat="1" applyFill="1"/>
    <xf numFmtId="43" fontId="0" fillId="48" borderId="0" xfId="1" applyFont="1" applyFill="1"/>
    <xf numFmtId="0" fontId="21" fillId="33" borderId="0" xfId="0" applyFont="1" applyFill="1" applyAlignment="1">
      <alignment wrapText="1"/>
    </xf>
    <xf numFmtId="43" fontId="21" fillId="33" borderId="0" xfId="1" applyFont="1" applyFill="1" applyAlignment="1">
      <alignment wrapText="1"/>
    </xf>
    <xf numFmtId="0" fontId="23" fillId="50" borderId="0" xfId="0" applyFont="1" applyFill="1"/>
    <xf numFmtId="0" fontId="23" fillId="0" borderId="0" xfId="0" applyFont="1"/>
    <xf numFmtId="0" fontId="23" fillId="49" borderId="0" xfId="0" applyFont="1" applyFill="1"/>
    <xf numFmtId="0" fontId="24" fillId="49" borderId="0" xfId="0" applyFont="1" applyFill="1"/>
    <xf numFmtId="0" fontId="23" fillId="38" borderId="0" xfId="0" applyFont="1" applyFill="1"/>
    <xf numFmtId="164" fontId="23" fillId="38" borderId="0" xfId="0" applyNumberFormat="1" applyFont="1" applyFill="1"/>
    <xf numFmtId="0" fontId="23" fillId="46" borderId="0" xfId="0" applyFont="1" applyFill="1"/>
    <xf numFmtId="0" fontId="23" fillId="39" borderId="0" xfId="0" applyFont="1" applyFill="1"/>
    <xf numFmtId="0" fontId="23" fillId="37" borderId="0" xfId="0" applyFont="1" applyFill="1"/>
    <xf numFmtId="164" fontId="23" fillId="42" borderId="0" xfId="0" applyNumberFormat="1" applyFont="1" applyFill="1"/>
    <xf numFmtId="0" fontId="25" fillId="49" borderId="0" xfId="0" applyFont="1" applyFill="1"/>
    <xf numFmtId="164" fontId="25" fillId="49" borderId="0" xfId="0" applyNumberFormat="1" applyFont="1" applyFill="1"/>
    <xf numFmtId="179" fontId="0" fillId="50" borderId="0" xfId="0" applyNumberFormat="1" applyFill="1" applyAlignment="1">
      <alignment horizontal="center" vertical="center"/>
    </xf>
    <xf numFmtId="0" fontId="0" fillId="35" borderId="0" xfId="0" applyFill="1" applyAlignment="1">
      <alignment wrapText="1"/>
    </xf>
    <xf numFmtId="0" fontId="24" fillId="0" borderId="0" xfId="0" applyFont="1"/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 wrapText="1"/>
    </xf>
    <xf numFmtId="0" fontId="0" fillId="39" borderId="0" xfId="0" applyFill="1" applyAlignment="1">
      <alignment horizontal="center"/>
    </xf>
    <xf numFmtId="0" fontId="0" fillId="34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2" applyNumberFormat="1" applyFont="1" applyAlignment="1">
      <alignment horizontal="center"/>
    </xf>
    <xf numFmtId="0" fontId="0" fillId="42" borderId="0" xfId="0" applyFill="1" applyAlignment="1">
      <alignment horizontal="center"/>
    </xf>
    <xf numFmtId="0" fontId="26" fillId="0" borderId="0" xfId="0" applyFont="1"/>
    <xf numFmtId="0" fontId="27" fillId="0" borderId="0" xfId="0" applyFont="1"/>
    <xf numFmtId="0" fontId="27" fillId="42" borderId="0" xfId="0" applyFont="1" applyFill="1" applyAlignment="1">
      <alignment textRotation="90"/>
    </xf>
    <xf numFmtId="0" fontId="27" fillId="42" borderId="0" xfId="0" applyFont="1" applyFill="1"/>
    <xf numFmtId="0" fontId="27" fillId="44" borderId="0" xfId="0" applyFont="1" applyFill="1"/>
    <xf numFmtId="0" fontId="27" fillId="0" borderId="0" xfId="0" applyFont="1" applyAlignment="1">
      <alignment textRotation="90"/>
    </xf>
    <xf numFmtId="0" fontId="27" fillId="36" borderId="0" xfId="0" applyFont="1" applyFill="1"/>
    <xf numFmtId="0" fontId="27" fillId="46" borderId="0" xfId="0" applyFont="1" applyFill="1"/>
    <xf numFmtId="9" fontId="27" fillId="38" borderId="0" xfId="3" applyFont="1" applyFill="1"/>
    <xf numFmtId="0" fontId="27" fillId="38" borderId="0" xfId="0" applyFont="1" applyFill="1"/>
    <xf numFmtId="0" fontId="27" fillId="39" borderId="0" xfId="0" applyFont="1" applyFill="1"/>
    <xf numFmtId="0" fontId="27" fillId="37" borderId="0" xfId="0" applyFont="1" applyFill="1"/>
    <xf numFmtId="9" fontId="27" fillId="37" borderId="0" xfId="3" applyFont="1" applyFill="1"/>
    <xf numFmtId="0" fontId="27" fillId="51" borderId="0" xfId="0" applyFont="1" applyFill="1"/>
    <xf numFmtId="0" fontId="28" fillId="0" borderId="0" xfId="0" applyFont="1"/>
    <xf numFmtId="0" fontId="28" fillId="39" borderId="0" xfId="0" applyFont="1" applyFill="1"/>
    <xf numFmtId="0" fontId="29" fillId="0" borderId="0" xfId="0" applyFont="1"/>
    <xf numFmtId="0" fontId="30" fillId="43" borderId="0" xfId="0" applyFont="1" applyFill="1"/>
    <xf numFmtId="0" fontId="29" fillId="45" borderId="0" xfId="0" applyFont="1" applyFill="1"/>
    <xf numFmtId="0" fontId="29" fillId="46" borderId="0" xfId="0" applyFont="1" applyFill="1"/>
    <xf numFmtId="0" fontId="29" fillId="39" borderId="0" xfId="0" applyFont="1" applyFill="1"/>
    <xf numFmtId="0" fontId="29" fillId="34" borderId="0" xfId="0" applyFont="1" applyFill="1"/>
    <xf numFmtId="0" fontId="29" fillId="38" borderId="0" xfId="0" applyFont="1" applyFill="1"/>
    <xf numFmtId="0" fontId="29" fillId="47" borderId="0" xfId="0" applyFont="1" applyFill="1"/>
    <xf numFmtId="0" fontId="29" fillId="0" borderId="0" xfId="0" applyFont="1" applyFill="1"/>
    <xf numFmtId="0" fontId="28" fillId="37" borderId="0" xfId="0" applyFont="1" applyFill="1"/>
    <xf numFmtId="164" fontId="28" fillId="37" borderId="0" xfId="0" applyNumberFormat="1" applyFont="1" applyFill="1"/>
    <xf numFmtId="9" fontId="28" fillId="37" borderId="0" xfId="0" applyNumberFormat="1" applyFont="1" applyFill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 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AFFF7"/>
      <color rgb="FFFFB4D2"/>
      <color rgb="FFFFFD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marksheet!$A$6:$A$22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Carnehah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marksheet!$C$6:$C$22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B-5147-9317-267A1B6EB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651920"/>
        <c:axId val="1578653632"/>
      </c:barChart>
      <c:catAx>
        <c:axId val="157865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653632"/>
        <c:crosses val="autoZero"/>
        <c:auto val="1"/>
        <c:lblAlgn val="ctr"/>
        <c:lblOffset val="100"/>
        <c:noMultiLvlLbl val="0"/>
      </c:catAx>
      <c:valAx>
        <c:axId val="157865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65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Cmpny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marksheet!$A$6:$A$22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Carnehah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marksheet!$D$6:$D$22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19</c:v>
                </c:pt>
                <c:pt idx="12">
                  <c:v>19</c:v>
                </c:pt>
                <c:pt idx="13">
                  <c:v>8</c:v>
                </c:pt>
                <c:pt idx="14">
                  <c:v>20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1-7741-A0AE-D1FFBC799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106784"/>
        <c:axId val="1570765136"/>
      </c:barChart>
      <c:catAx>
        <c:axId val="153310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765136"/>
        <c:crosses val="autoZero"/>
        <c:auto val="1"/>
        <c:lblAlgn val="ctr"/>
        <c:lblOffset val="100"/>
        <c:noMultiLvlLbl val="0"/>
      </c:catAx>
      <c:valAx>
        <c:axId val="15707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10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Drug</a:t>
            </a:r>
            <a:r>
              <a:rPr lang="en-GB" baseline="0"/>
              <a:t> Test (p/f)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684-B340-AD25-CE222DC173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84-B340-AD25-CE222DC17388}"/>
              </c:ext>
            </c:extLst>
          </c:dPt>
          <c:dLbls>
            <c:dLbl>
              <c:idx val="0"/>
              <c:layout>
                <c:manualLayout>
                  <c:x val="-8.8888888888888892E-2"/>
                  <c:y val="-0.2766094342373869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97222222222223"/>
                      <c:h val="0.1736111111111111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9684-B340-AD25-CE222DC1738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805555555555555E-2"/>
                      <c:h val="0.1273148148148148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684-B340-AD25-CE222DC173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marksheet!$L$24:$L$25</c:f>
              <c:strCache>
                <c:ptCount val="2"/>
                <c:pt idx="0">
                  <c:v>PASS </c:v>
                </c:pt>
                <c:pt idx="1">
                  <c:v>FAIL</c:v>
                </c:pt>
              </c:strCache>
            </c:strRef>
          </c:cat>
          <c:val>
            <c:numRef>
              <c:f>marksheet!$M$24:$M$25</c:f>
              <c:numCache>
                <c:formatCode>General</c:formatCode>
                <c:ptCount val="2"/>
                <c:pt idx="0">
                  <c:v>14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4-B340-AD25-CE222DC17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Financial</a:t>
            </a:r>
            <a:r>
              <a:rPr lang="en-GB" baseline="0"/>
              <a:t>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marksheet!$A$6:$A$22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Carnehah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marksheet!$E$6:$E$22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70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9-A040-BA59-B938698EB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406624"/>
        <c:axId val="69586895"/>
      </c:barChart>
      <c:catAx>
        <c:axId val="81940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86895"/>
        <c:crosses val="autoZero"/>
        <c:auto val="1"/>
        <c:lblAlgn val="ctr"/>
        <c:lblOffset val="100"/>
        <c:noMultiLvlLbl val="0"/>
      </c:catAx>
      <c:valAx>
        <c:axId val="6958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406624"/>
        <c:crosses val="autoZero"/>
        <c:crossBetween val="between"/>
      </c:valAx>
      <c:spPr>
        <a:solidFill>
          <a:schemeClr val="tx1">
            <a:lumMod val="85000"/>
            <a:lumOff val="1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[excel_problems.xlsx]cust.trans.pivot!PivotTable2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'cust.trans.pivot'!$B$3</c:f>
              <c:strCache>
                <c:ptCount val="1"/>
                <c:pt idx="0">
                  <c:v>Sum of Sale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'cust.trans.pivot'!$A$4:$A$8</c:f>
              <c:strCache>
                <c:ptCount val="4"/>
                <c:pt idx="0">
                  <c:v>Barns</c:v>
                </c:pt>
                <c:pt idx="1">
                  <c:v>Hernancz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'cust.trans.pivot'!$B$4:$B$8</c:f>
              <c:numCache>
                <c:formatCode>General</c:formatCode>
                <c:ptCount val="4"/>
                <c:pt idx="0">
                  <c:v>3775.2</c:v>
                </c:pt>
                <c:pt idx="1">
                  <c:v>7174.6</c:v>
                </c:pt>
                <c:pt idx="2">
                  <c:v>5149.6000000000004</c:v>
                </c:pt>
                <c:pt idx="3">
                  <c:v>6020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7-DA4E-8A2A-7503BCBA8DE0}"/>
            </c:ext>
          </c:extLst>
        </c:ser>
        <c:ser>
          <c:idx val="1"/>
          <c:order val="1"/>
          <c:tx>
            <c:strRef>
              <c:f>'cust.trans.pivot'!$C$3</c:f>
              <c:strCache>
                <c:ptCount val="1"/>
                <c:pt idx="0">
                  <c:v>Sum of 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'cust.trans.pivot'!$A$4:$A$8</c:f>
              <c:strCache>
                <c:ptCount val="4"/>
                <c:pt idx="0">
                  <c:v>Barns</c:v>
                </c:pt>
                <c:pt idx="1">
                  <c:v>Hernancz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'cust.trans.pivot'!$C$4:$C$8</c:f>
              <c:numCache>
                <c:formatCode>General</c:formatCode>
                <c:ptCount val="4"/>
                <c:pt idx="0">
                  <c:v>1538.6999999999998</c:v>
                </c:pt>
                <c:pt idx="1">
                  <c:v>2669.5000000000005</c:v>
                </c:pt>
                <c:pt idx="2">
                  <c:v>2039.7000000000003</c:v>
                </c:pt>
                <c:pt idx="3">
                  <c:v>2314.0000000000005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F7-DA4E-8A2A-7503BCBA8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[excel_problems.xlsx]car_inventory!PivotTable6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car_inventory!$Q$10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car_inventory!$P$11:$P$28</c:f>
              <c:strCache>
                <c:ptCount val="17"/>
                <c:pt idx="0">
                  <c:v>Smith</c:v>
                </c:pt>
                <c:pt idx="1">
                  <c:v>Jones</c:v>
                </c:pt>
                <c:pt idx="2">
                  <c:v>Gaul</c:v>
                </c:pt>
                <c:pt idx="3">
                  <c:v>Swartz</c:v>
                </c:pt>
                <c:pt idx="4">
                  <c:v>Ewenty</c:v>
                </c:pt>
                <c:pt idx="5">
                  <c:v>Chan</c:v>
                </c:pt>
                <c:pt idx="6">
                  <c:v>Bard</c:v>
                </c:pt>
                <c:pt idx="7">
                  <c:v>Howard</c:v>
                </c:pt>
                <c:pt idx="8">
                  <c:v>Santos</c:v>
                </c:pt>
                <c:pt idx="9">
                  <c:v>Rodriguez</c:v>
                </c:pt>
                <c:pt idx="10">
                  <c:v>Hulinski</c:v>
                </c:pt>
                <c:pt idx="11">
                  <c:v>Vizzini</c:v>
                </c:pt>
                <c:pt idx="12">
                  <c:v>Lyon</c:v>
                </c:pt>
                <c:pt idx="13">
                  <c:v>McCall</c:v>
                </c:pt>
                <c:pt idx="14">
                  <c:v>Torrens</c:v>
                </c:pt>
                <c:pt idx="15">
                  <c:v>Praulty</c:v>
                </c:pt>
                <c:pt idx="16">
                  <c:v>Yousef</c:v>
                </c:pt>
              </c:strCache>
            </c:strRef>
          </c:cat>
          <c:val>
            <c:numRef>
              <c:f>car_inventory!$Q$11:$Q$28</c:f>
              <c:numCache>
                <c:formatCode>General</c:formatCode>
                <c:ptCount val="17"/>
                <c:pt idx="0">
                  <c:v>305432.40000000002</c:v>
                </c:pt>
                <c:pt idx="1">
                  <c:v>184693.8</c:v>
                </c:pt>
                <c:pt idx="2">
                  <c:v>179986</c:v>
                </c:pt>
                <c:pt idx="3">
                  <c:v>177713.9</c:v>
                </c:pt>
                <c:pt idx="4">
                  <c:v>154427.9</c:v>
                </c:pt>
                <c:pt idx="5">
                  <c:v>150656.40000000002</c:v>
                </c:pt>
                <c:pt idx="6">
                  <c:v>144647.69999999998</c:v>
                </c:pt>
                <c:pt idx="7">
                  <c:v>143640.70000000001</c:v>
                </c:pt>
                <c:pt idx="8">
                  <c:v>141229.4</c:v>
                </c:pt>
                <c:pt idx="9">
                  <c:v>138561.5</c:v>
                </c:pt>
                <c:pt idx="10">
                  <c:v>135078.20000000001</c:v>
                </c:pt>
                <c:pt idx="11">
                  <c:v>130601.59999999999</c:v>
                </c:pt>
                <c:pt idx="12">
                  <c:v>127731.3</c:v>
                </c:pt>
                <c:pt idx="13">
                  <c:v>70964.899999999994</c:v>
                </c:pt>
                <c:pt idx="14">
                  <c:v>65964.899999999994</c:v>
                </c:pt>
                <c:pt idx="15">
                  <c:v>65315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C-B646-ACF9-582DB12EF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548916527"/>
        <c:axId val="549053807"/>
      </c:barChart>
      <c:catAx>
        <c:axId val="54891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53807"/>
        <c:crosses val="autoZero"/>
        <c:auto val="1"/>
        <c:lblAlgn val="ctr"/>
        <c:lblOffset val="100"/>
        <c:noMultiLvlLbl val="0"/>
      </c:catAx>
      <c:valAx>
        <c:axId val="549053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car_inventory!$H$1</c:f>
              <c:strCache>
                <c:ptCount val="1"/>
                <c:pt idx="0">
                  <c:v>Miles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car_inventory!$G$2:$G$53</c:f>
              <c:numCache>
                <c:formatCode>General</c:formatCode>
                <c:ptCount val="52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  <c:pt idx="15">
                  <c:v>0</c:v>
                </c:pt>
                <c:pt idx="16">
                  <c:v>4</c:v>
                </c:pt>
                <c:pt idx="17">
                  <c:v>16</c:v>
                </c:pt>
                <c:pt idx="18">
                  <c:v>14</c:v>
                </c:pt>
                <c:pt idx="19">
                  <c:v>18</c:v>
                </c:pt>
                <c:pt idx="20">
                  <c:v>16</c:v>
                </c:pt>
                <c:pt idx="21">
                  <c:v>14</c:v>
                </c:pt>
                <c:pt idx="22">
                  <c:v>12</c:v>
                </c:pt>
                <c:pt idx="23">
                  <c:v>5</c:v>
                </c:pt>
                <c:pt idx="24">
                  <c:v>12</c:v>
                </c:pt>
                <c:pt idx="25">
                  <c:v>11</c:v>
                </c:pt>
                <c:pt idx="26">
                  <c:v>0</c:v>
                </c:pt>
                <c:pt idx="27">
                  <c:v>2</c:v>
                </c:pt>
                <c:pt idx="28">
                  <c:v>2</c:v>
                </c:pt>
                <c:pt idx="29">
                  <c:v>15</c:v>
                </c:pt>
                <c:pt idx="30">
                  <c:v>13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9</c:v>
                </c:pt>
                <c:pt idx="37">
                  <c:v>7</c:v>
                </c:pt>
                <c:pt idx="38">
                  <c:v>6</c:v>
                </c:pt>
                <c:pt idx="39">
                  <c:v>13</c:v>
                </c:pt>
                <c:pt idx="40">
                  <c:v>0</c:v>
                </c:pt>
                <c:pt idx="41">
                  <c:v>10</c:v>
                </c:pt>
                <c:pt idx="42">
                  <c:v>7</c:v>
                </c:pt>
                <c:pt idx="43">
                  <c:v>3</c:v>
                </c:pt>
                <c:pt idx="44">
                  <c:v>15</c:v>
                </c:pt>
                <c:pt idx="45">
                  <c:v>14</c:v>
                </c:pt>
                <c:pt idx="46">
                  <c:v>10</c:v>
                </c:pt>
                <c:pt idx="47">
                  <c:v>10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</c:numCache>
            </c:numRef>
          </c:xVal>
          <c:yVal>
            <c:numRef>
              <c:f>car_inventory!$H$2:$H$53</c:f>
              <c:numCache>
                <c:formatCode>_(* #,##0.00_);_(* \(#,##0.00\);_(* "-"??_);_(@_)</c:formatCode>
                <c:ptCount val="52"/>
                <c:pt idx="0">
                  <c:v>40326.800000000003</c:v>
                </c:pt>
                <c:pt idx="1">
                  <c:v>44974.8</c:v>
                </c:pt>
                <c:pt idx="2">
                  <c:v>44946.5</c:v>
                </c:pt>
                <c:pt idx="3">
                  <c:v>37558.800000000003</c:v>
                </c:pt>
                <c:pt idx="4">
                  <c:v>36438.5</c:v>
                </c:pt>
                <c:pt idx="5">
                  <c:v>46311.4</c:v>
                </c:pt>
                <c:pt idx="6">
                  <c:v>52229.5</c:v>
                </c:pt>
                <c:pt idx="7">
                  <c:v>35137</c:v>
                </c:pt>
                <c:pt idx="8">
                  <c:v>27637.1</c:v>
                </c:pt>
                <c:pt idx="9">
                  <c:v>27534.799999999999</c:v>
                </c:pt>
                <c:pt idx="10">
                  <c:v>19341.7</c:v>
                </c:pt>
                <c:pt idx="11">
                  <c:v>22521.599999999999</c:v>
                </c:pt>
                <c:pt idx="12">
                  <c:v>13682.9</c:v>
                </c:pt>
                <c:pt idx="13">
                  <c:v>28464.799999999999</c:v>
                </c:pt>
                <c:pt idx="14">
                  <c:v>19421.099999999999</c:v>
                </c:pt>
                <c:pt idx="15">
                  <c:v>14289.6</c:v>
                </c:pt>
                <c:pt idx="16">
                  <c:v>31144.400000000001</c:v>
                </c:pt>
                <c:pt idx="17">
                  <c:v>83162.7</c:v>
                </c:pt>
                <c:pt idx="18">
                  <c:v>80685.8</c:v>
                </c:pt>
                <c:pt idx="19">
                  <c:v>114660.6</c:v>
                </c:pt>
                <c:pt idx="20">
                  <c:v>93382.6</c:v>
                </c:pt>
                <c:pt idx="21">
                  <c:v>85928</c:v>
                </c:pt>
                <c:pt idx="22">
                  <c:v>67829.100000000006</c:v>
                </c:pt>
                <c:pt idx="23">
                  <c:v>48114.2</c:v>
                </c:pt>
                <c:pt idx="24">
                  <c:v>64467.4</c:v>
                </c:pt>
                <c:pt idx="25">
                  <c:v>73444.399999999994</c:v>
                </c:pt>
                <c:pt idx="26">
                  <c:v>17556.3</c:v>
                </c:pt>
                <c:pt idx="27">
                  <c:v>29601.9</c:v>
                </c:pt>
                <c:pt idx="28">
                  <c:v>22128.2</c:v>
                </c:pt>
                <c:pt idx="29">
                  <c:v>82374</c:v>
                </c:pt>
                <c:pt idx="30">
                  <c:v>69891.899999999994</c:v>
                </c:pt>
                <c:pt idx="31">
                  <c:v>22573</c:v>
                </c:pt>
                <c:pt idx="32">
                  <c:v>33477.199999999997</c:v>
                </c:pt>
                <c:pt idx="33">
                  <c:v>30555.3</c:v>
                </c:pt>
                <c:pt idx="34">
                  <c:v>24513.200000000001</c:v>
                </c:pt>
                <c:pt idx="35">
                  <c:v>13867.6</c:v>
                </c:pt>
                <c:pt idx="36">
                  <c:v>60389.5</c:v>
                </c:pt>
                <c:pt idx="37">
                  <c:v>50854.1</c:v>
                </c:pt>
                <c:pt idx="38">
                  <c:v>42504.6</c:v>
                </c:pt>
                <c:pt idx="39">
                  <c:v>68658.899999999994</c:v>
                </c:pt>
                <c:pt idx="40">
                  <c:v>3708.1</c:v>
                </c:pt>
                <c:pt idx="41">
                  <c:v>64542</c:v>
                </c:pt>
                <c:pt idx="42">
                  <c:v>42074.2</c:v>
                </c:pt>
                <c:pt idx="43">
                  <c:v>27394.2</c:v>
                </c:pt>
                <c:pt idx="44">
                  <c:v>79420.600000000006</c:v>
                </c:pt>
                <c:pt idx="45">
                  <c:v>77243.100000000006</c:v>
                </c:pt>
                <c:pt idx="46">
                  <c:v>72527.199999999997</c:v>
                </c:pt>
                <c:pt idx="47">
                  <c:v>52699.4</c:v>
                </c:pt>
                <c:pt idx="48">
                  <c:v>29102.3</c:v>
                </c:pt>
                <c:pt idx="49">
                  <c:v>22282</c:v>
                </c:pt>
                <c:pt idx="50">
                  <c:v>20223.900000000001</c:v>
                </c:pt>
                <c:pt idx="51">
                  <c:v>22188.5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90-AE4D-BA71-E0A7E2D1F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108016"/>
        <c:axId val="1277205408"/>
      </c:scatterChart>
      <c:valAx>
        <c:axId val="127810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05408"/>
        <c:crosses val="autoZero"/>
        <c:crossBetween val="midCat"/>
      </c:valAx>
      <c:valAx>
        <c:axId val="127720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0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Monthly Payments for 20k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loan_comparison!$C$2:$C$5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loan_comparison!$G$2:$G$5</c:f>
              <c:numCache>
                <c:formatCode>_([$$-409]* #,##0.00_);_([$$-409]* \(#,##0.00\);_([$$-409]* "-"??_);_(@_)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7-EF44-8EE7-33095E9F1B6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11416223"/>
        <c:axId val="541660671"/>
      </c:barChart>
      <c:catAx>
        <c:axId val="131141622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60671"/>
        <c:crosses val="autoZero"/>
        <c:auto val="1"/>
        <c:lblAlgn val="ctr"/>
        <c:lblOffset val="100"/>
        <c:noMultiLvlLbl val="0"/>
      </c:catAx>
      <c:valAx>
        <c:axId val="54166067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41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508000</xdr:colOff>
      <xdr:row>2</xdr:row>
      <xdr:rowOff>641350</xdr:rowOff>
    </xdr:from>
    <xdr:to>
      <xdr:col>20</xdr:col>
      <xdr:colOff>127000</xdr:colOff>
      <xdr:row>9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80E24-C67A-396B-03AB-340AED221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495300</xdr:colOff>
      <xdr:row>10</xdr:row>
      <xdr:rowOff>171450</xdr:rowOff>
    </xdr:from>
    <xdr:to>
      <xdr:col>20</xdr:col>
      <xdr:colOff>114300</xdr:colOff>
      <xdr:row>24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B1B9FD-5744-5421-C428-28AC4CF12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406400</xdr:colOff>
      <xdr:row>10</xdr:row>
      <xdr:rowOff>171450</xdr:rowOff>
    </xdr:from>
    <xdr:to>
      <xdr:col>26</xdr:col>
      <xdr:colOff>25400</xdr:colOff>
      <xdr:row>24</xdr:row>
      <xdr:rowOff>69850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1836CF-DDE4-9D7D-81D2-B29049674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469080</xdr:colOff>
      <xdr:row>2</xdr:row>
      <xdr:rowOff>687029</xdr:rowOff>
    </xdr:from>
    <xdr:to>
      <xdr:col>26</xdr:col>
      <xdr:colOff>124951</xdr:colOff>
      <xdr:row>9</xdr:row>
      <xdr:rowOff>91358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57864D-A420-1BCA-E49E-151B46BF1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</xdr:row>
      <xdr:rowOff>127000</xdr:rowOff>
    </xdr:from>
    <xdr:to>
      <xdr:col>11</xdr:col>
      <xdr:colOff>793750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69AE21-5453-A41D-E70B-498ADD74F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133350</xdr:colOff>
      <xdr:row>9</xdr:row>
      <xdr:rowOff>12700</xdr:rowOff>
    </xdr:from>
    <xdr:to>
      <xdr:col>22</xdr:col>
      <xdr:colOff>222250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FF05D-4D4B-8F4C-550F-7E4786194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165100</xdr:colOff>
      <xdr:row>23</xdr:row>
      <xdr:rowOff>25400</xdr:rowOff>
    </xdr:from>
    <xdr:to>
      <xdr:col>22</xdr:col>
      <xdr:colOff>254000</xdr:colOff>
      <xdr:row>36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486C90-F665-86ED-BE63-ECD20D19A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75</xdr:row>
      <xdr:rowOff>152400</xdr:rowOff>
    </xdr:from>
    <xdr:ext cx="7825476" cy="96898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E6975C-9B9A-9DF2-8E2E-0C208AFCD8D0}"/>
            </a:ext>
          </a:extLst>
        </xdr:cNvPr>
        <xdr:cNvSpPr txBox="1"/>
      </xdr:nvSpPr>
      <xdr:spPr>
        <a:xfrm>
          <a:off x="12700" y="15392400"/>
          <a:ext cx="7825476" cy="968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when we used</a:t>
          </a:r>
          <a:r>
            <a:rPr lang="en-GB" sz="1400" b="1" baseline="0"/>
            <a:t> pivot table, the car IDs was under each driver, both in the same column, </a:t>
          </a:r>
        </a:p>
        <a:p>
          <a:r>
            <a:rPr lang="en-GB" sz="1400" b="1" baseline="0"/>
            <a:t>so we cant do the lookup function in that case. Press the table, go into design in the ribbon, </a:t>
          </a:r>
        </a:p>
        <a:p>
          <a:r>
            <a:rPr lang="en-GB" sz="1400" b="1" baseline="0"/>
            <a:t>report layout, show in tabular form. Now there is bard and 3 ids in the second column, but we need </a:t>
          </a:r>
        </a:p>
        <a:p>
          <a:r>
            <a:rPr lang="en-GB" sz="1400" b="1" baseline="0"/>
            <a:t>to see bard in all 3 rows, for that click repeat all item lables inside report layout. now the vlookup works. </a:t>
          </a:r>
          <a:endParaRPr lang="en-GB" sz="14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7</xdr:row>
      <xdr:rowOff>38100</xdr:rowOff>
    </xdr:from>
    <xdr:to>
      <xdr:col>8</xdr:col>
      <xdr:colOff>177800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0C6E4-96EB-88FE-4ACD-2E8061B33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32</xdr:row>
      <xdr:rowOff>38100</xdr:rowOff>
    </xdr:from>
    <xdr:ext cx="4076700" cy="162647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F7B344-05C1-4741-E871-21E985D7BB49}"/>
            </a:ext>
          </a:extLst>
        </xdr:cNvPr>
        <xdr:cNvSpPr txBox="1"/>
      </xdr:nvSpPr>
      <xdr:spPr>
        <a:xfrm>
          <a:off x="88900" y="8420100"/>
          <a:ext cx="4076700" cy="1626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VLOOKUP($K2,$A$2:$D$16,COLUMN(B2),TRUE)*$L2</a:t>
          </a:r>
          <a:r>
            <a:rPr lang="en-GB" sz="1400" b="1"/>
            <a:t> </a:t>
          </a:r>
          <a:r>
            <a:rPr lang="en-GB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here column had to be used, so that when we drag the equation to the right and b2 becomes b3 and b4. if instead we </a:t>
          </a:r>
          <a:r>
            <a:rPr lang="en-GB" sz="1400" b="1"/>
            <a:t> </a:t>
          </a:r>
          <a:r>
            <a:rPr lang="en-GB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said VLOOKUP($K2,$A$2:$D$16,2,TRUE)*$L2 , the column index is referenced here and if we drag to right it wont work the same.</a:t>
          </a:r>
          <a:r>
            <a:rPr lang="en-GB" sz="1400" b="1"/>
            <a:t> 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n Jose" refreshedDate="45576.561467361113" createdVersion="8" refreshedVersion="8" minRefreshableVersion="3" recordCount="240" xr:uid="{A1A8F45A-CD4A-E14B-960D-F1690C3C4FD2}">
  <cacheSource type="worksheet">
    <worksheetSource ref="A3:K243" sheet="Customer Transcation"/>
  </cacheSource>
  <cacheFields count="11">
    <cacheField name="Month" numFmtId="0">
      <sharedItems/>
    </cacheField>
    <cacheField name="Transaction #" numFmtId="0">
      <sharedItems containsSemiMixedTypes="0" containsString="0" containsNumber="1" containsInteger="1" minValue="1001" maxValue="1020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79">
      <sharedItems containsSemiMixedTypes="0" containsString="0" containsNumber="1" minValue="3" maxValue="344"/>
    </cacheField>
    <cacheField name="Sale Price" numFmtId="179">
      <sharedItems containsSemiMixedTypes="0" containsString="0" containsNumber="1" minValue="7" maxValue="502"/>
    </cacheField>
    <cacheField name="Profit" numFmtId="179">
      <sharedItems containsSemiMixedTypes="0" containsString="0" containsNumber="1" minValue="2.9999999999999991" maxValue="158"/>
    </cacheField>
    <cacheField name="Commission 10% for items less than $50, 20% for items more than $50" numFmtId="179">
      <sharedItems containsSemiMixedTypes="0" containsString="0" containsNumber="1" minValue="0.29999999999999993" maxValue="31.6"/>
    </cacheField>
    <cacheField name="First name" numFmtId="0">
      <sharedItems count="4">
        <s v="Charlie"/>
        <s v="Juan"/>
        <s v="Helen"/>
        <s v="Doug"/>
      </sharedItems>
    </cacheField>
    <cacheField name="Last name" numFmtId="0">
      <sharedItems count="4">
        <s v="Barns"/>
        <s v="Hernancz"/>
        <s v="Johnson"/>
        <s v="Smith"/>
      </sharedItems>
    </cacheField>
    <cacheField name="Sale Location" numFmtId="0">
      <sharedItems count="6">
        <s v="CO"/>
        <s v="NM"/>
        <s v="CA"/>
        <s v="UT"/>
        <s v="AZ"/>
        <s v="NV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n Jose" refreshedDate="45578.678757986112" createdVersion="8" refreshedVersion="8" minRefreshableVersion="3" recordCount="52" xr:uid="{DF66474E-9C64-334D-B194-C9601F13E7F6}">
  <cacheSource type="worksheet">
    <worksheetSource ref="A1:N53" sheet="car_inventory"/>
  </cacheSource>
  <cacheFields count="14">
    <cacheField name="Car ID" numFmtId="0">
      <sharedItems count="52">
        <s v="FD06MTG001"/>
        <s v="FD06MTG002"/>
        <s v="FD08MTG003"/>
        <s v="FD08MTG004"/>
        <s v="FD08MTG005"/>
        <s v="FD06FCS006"/>
        <s v="FD06FCS007"/>
        <s v="FD09FCS008"/>
        <s v="FD13FCS009"/>
        <s v="FD13FCS010"/>
        <s v="FD12FCS011"/>
        <s v="FD13FCS012"/>
        <s v="FD13FCS013"/>
        <s v="GM09CMR014"/>
        <s v="GM12CMR015"/>
        <s v="GM14CMR016"/>
        <s v="GM10SLV017"/>
        <s v="GM98SLV018"/>
        <s v="GM00SLV019"/>
        <s v="TY96CAM020"/>
        <s v="TY98CAM021"/>
        <s v="TY00CAM022"/>
        <s v="TY02CAM023"/>
        <s v="TY09CAM024"/>
        <s v="TY02COR025"/>
        <s v="TY03COR026"/>
        <s v="TY14COR027"/>
        <s v="TY12COR028"/>
        <s v="TY12CAM029"/>
        <s v="HO99CIV030"/>
        <s v="HO01CIV031"/>
        <s v="HO10CIV032"/>
        <s v="HO10CIV033"/>
        <s v="HO11CIV034"/>
        <s v="HO12CIV035"/>
        <s v="HO13CIV036"/>
        <s v="HO05ODY037"/>
        <s v="HO07ODY038"/>
        <s v="HO08ODY039"/>
        <s v="HO01ODY040"/>
        <s v="HO14ODY041"/>
        <s v="CR04PTC042"/>
        <s v="CR07PTC043"/>
        <s v="CR11PTC044"/>
        <s v="CR99CAR045"/>
        <s v="CR00CAR046"/>
        <s v="CR04CAR047"/>
        <s v="CR04CAR048"/>
        <s v="HY11ELA049"/>
        <s v="HY12ELA050"/>
        <s v="HY13ELA051"/>
        <s v="HY13ELA052"/>
      </sharedItems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2">
      <sharedItems/>
    </cacheField>
    <cacheField name="Age" numFmtId="0">
      <sharedItems containsSemiMixedTypes="0" containsString="0" containsNumber="1" containsInteger="1" minValue="0" maxValue="2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3176.8240000000001" maxValue="27637.1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s v="Jan"/>
    <n v="1007"/>
    <n v="8722"/>
    <s v="Water Pump"/>
    <n v="344"/>
    <n v="502"/>
    <n v="158"/>
    <n v="31.6"/>
    <x v="0"/>
    <x v="0"/>
    <x v="0"/>
  </r>
  <r>
    <s v="Jan"/>
    <n v="1019"/>
    <n v="2242"/>
    <s v="AutoVac"/>
    <n v="60"/>
    <n v="124"/>
    <n v="64"/>
    <n v="12.8"/>
    <x v="0"/>
    <x v="0"/>
    <x v="1"/>
  </r>
  <r>
    <s v="Feb"/>
    <n v="1003"/>
    <n v="9121"/>
    <s v="1 Gal Muratic Acid"/>
    <n v="4"/>
    <n v="7"/>
    <n v="3"/>
    <n v="0.30000000000000004"/>
    <x v="0"/>
    <x v="0"/>
    <x v="2"/>
  </r>
  <r>
    <s v="Feb"/>
    <n v="1005"/>
    <n v="9121"/>
    <s v="1 Gal Muratic Acid"/>
    <n v="4"/>
    <n v="7"/>
    <n v="3"/>
    <n v="0.30000000000000004"/>
    <x v="0"/>
    <x v="0"/>
    <x v="0"/>
  </r>
  <r>
    <s v="Feb"/>
    <n v="1016"/>
    <n v="9822"/>
    <s v="Pool Cover"/>
    <n v="58.3"/>
    <n v="98.4"/>
    <n v="40.100000000000009"/>
    <n v="8.0200000000000014"/>
    <x v="0"/>
    <x v="0"/>
    <x v="2"/>
  </r>
  <r>
    <s v="Feb"/>
    <n v="1019"/>
    <n v="2877"/>
    <s v="Net"/>
    <n v="11.4"/>
    <n v="16.3"/>
    <n v="4.9000000000000004"/>
    <n v="0.49000000000000005"/>
    <x v="0"/>
    <x v="0"/>
    <x v="1"/>
  </r>
  <r>
    <s v="Mar"/>
    <n v="1002"/>
    <n v="9822"/>
    <s v="Pool Cover"/>
    <n v="58.3"/>
    <n v="98.4"/>
    <n v="40.100000000000009"/>
    <n v="8.0200000000000014"/>
    <x v="0"/>
    <x v="0"/>
    <x v="0"/>
  </r>
  <r>
    <s v="Mar"/>
    <n v="1010"/>
    <n v="2499"/>
    <s v="8 ft Hose"/>
    <n v="6.2"/>
    <n v="9.1999999999999993"/>
    <n v="2.9999999999999991"/>
    <n v="0.29999999999999993"/>
    <x v="0"/>
    <x v="0"/>
    <x v="3"/>
  </r>
  <r>
    <s v="Feb"/>
    <n v="1006"/>
    <n v="8722"/>
    <s v="Water Pump"/>
    <n v="344"/>
    <n v="502"/>
    <n v="158"/>
    <n v="31.6"/>
    <x v="1"/>
    <x v="1"/>
    <x v="4"/>
  </r>
  <r>
    <s v="Jul"/>
    <n v="1003"/>
    <n v="8722"/>
    <s v="Water Pump"/>
    <n v="344"/>
    <n v="502"/>
    <n v="158"/>
    <n v="31.6"/>
    <x v="2"/>
    <x v="2"/>
    <x v="4"/>
  </r>
  <r>
    <s v="Dec"/>
    <n v="1011"/>
    <n v="8722"/>
    <s v="Water Pump"/>
    <n v="344"/>
    <n v="502"/>
    <n v="158"/>
    <n v="31.6"/>
    <x v="3"/>
    <x v="3"/>
    <x v="4"/>
  </r>
  <r>
    <s v="Apr"/>
    <n v="1012"/>
    <n v="1109"/>
    <s v="Chlorine Test Kit"/>
    <n v="3"/>
    <n v="8"/>
    <n v="5"/>
    <n v="0.5"/>
    <x v="0"/>
    <x v="0"/>
    <x v="2"/>
  </r>
  <r>
    <s v="Apr"/>
    <n v="1013"/>
    <n v="2242"/>
    <s v="AutoVac"/>
    <n v="60"/>
    <n v="124"/>
    <n v="64"/>
    <n v="12.8"/>
    <x v="0"/>
    <x v="0"/>
    <x v="0"/>
  </r>
  <r>
    <s v="Apr"/>
    <n v="1015"/>
    <n v="9121"/>
    <s v="1 Gal Muratic Acid"/>
    <n v="4"/>
    <n v="7"/>
    <n v="3"/>
    <n v="0.30000000000000004"/>
    <x v="0"/>
    <x v="0"/>
    <x v="5"/>
  </r>
  <r>
    <s v="Apr"/>
    <n v="1017"/>
    <n v="2877"/>
    <s v="Net"/>
    <n v="11.4"/>
    <n v="16.3"/>
    <n v="4.9000000000000004"/>
    <n v="0.49000000000000005"/>
    <x v="0"/>
    <x v="0"/>
    <x v="3"/>
  </r>
  <r>
    <s v="Nov"/>
    <n v="1018"/>
    <n v="2242"/>
    <s v="AutoVac"/>
    <n v="60"/>
    <n v="124"/>
    <n v="64"/>
    <n v="12.8"/>
    <x v="0"/>
    <x v="0"/>
    <x v="4"/>
  </r>
  <r>
    <s v="May"/>
    <n v="1005"/>
    <n v="1109"/>
    <s v="Chlorine Test Kit"/>
    <n v="3"/>
    <n v="8"/>
    <n v="5"/>
    <n v="0.5"/>
    <x v="0"/>
    <x v="0"/>
    <x v="3"/>
  </r>
  <r>
    <s v="May"/>
    <n v="1008"/>
    <n v="2877"/>
    <s v="Net"/>
    <n v="11.4"/>
    <n v="16.3"/>
    <n v="4.9000000000000004"/>
    <n v="0.49000000000000005"/>
    <x v="0"/>
    <x v="0"/>
    <x v="5"/>
  </r>
  <r>
    <s v="May"/>
    <n v="1013"/>
    <n v="2877"/>
    <s v="Net"/>
    <n v="11.4"/>
    <n v="16.3"/>
    <n v="4.9000000000000004"/>
    <n v="0.49000000000000005"/>
    <x v="0"/>
    <x v="0"/>
    <x v="0"/>
  </r>
  <r>
    <s v="May"/>
    <n v="1016"/>
    <n v="9121"/>
    <s v="1 Gal Muratic Acid"/>
    <n v="4"/>
    <n v="7"/>
    <n v="3"/>
    <n v="0.30000000000000004"/>
    <x v="0"/>
    <x v="0"/>
    <x v="0"/>
  </r>
  <r>
    <s v="Jun"/>
    <n v="1008"/>
    <n v="2242"/>
    <s v="AutoVac"/>
    <n v="60"/>
    <n v="124"/>
    <n v="64"/>
    <n v="12.8"/>
    <x v="0"/>
    <x v="0"/>
    <x v="2"/>
  </r>
  <r>
    <s v="Jun"/>
    <n v="1017"/>
    <n v="9822"/>
    <s v="Pool Cover"/>
    <n v="58.3"/>
    <n v="98.4"/>
    <n v="40.100000000000009"/>
    <n v="8.0200000000000014"/>
    <x v="0"/>
    <x v="0"/>
    <x v="2"/>
  </r>
  <r>
    <s v="Jun"/>
    <n v="1020"/>
    <n v="9121"/>
    <s v="1 Gal Muratic Acid"/>
    <n v="4"/>
    <n v="7"/>
    <n v="3"/>
    <n v="0.30000000000000004"/>
    <x v="0"/>
    <x v="0"/>
    <x v="5"/>
  </r>
  <r>
    <s v="Jul"/>
    <n v="1002"/>
    <n v="9121"/>
    <s v="1 Gal Muratic Acid"/>
    <n v="4"/>
    <n v="7"/>
    <n v="3"/>
    <n v="0.30000000000000004"/>
    <x v="0"/>
    <x v="0"/>
    <x v="0"/>
  </r>
  <r>
    <s v="Jul"/>
    <n v="1011"/>
    <n v="8722"/>
    <s v="Water Pump"/>
    <n v="344"/>
    <n v="502"/>
    <n v="158"/>
    <n v="31.6"/>
    <x v="0"/>
    <x v="0"/>
    <x v="1"/>
  </r>
  <r>
    <s v="Jul"/>
    <n v="1012"/>
    <n v="2877"/>
    <s v="Net"/>
    <n v="11.4"/>
    <n v="16.3"/>
    <n v="4.9000000000000004"/>
    <n v="0.49000000000000005"/>
    <x v="0"/>
    <x v="0"/>
    <x v="3"/>
  </r>
  <r>
    <s v="Aug"/>
    <n v="1007"/>
    <n v="9121"/>
    <s v="1 Gal Muratic Acid"/>
    <n v="4"/>
    <n v="7"/>
    <n v="3"/>
    <n v="0.30000000000000004"/>
    <x v="0"/>
    <x v="0"/>
    <x v="1"/>
  </r>
  <r>
    <s v="Aug"/>
    <n v="1010"/>
    <n v="2877"/>
    <s v="Net"/>
    <n v="11.4"/>
    <n v="16.3"/>
    <n v="4.9000000000000004"/>
    <n v="0.49000000000000005"/>
    <x v="0"/>
    <x v="0"/>
    <x v="0"/>
  </r>
  <r>
    <s v="Aug"/>
    <n v="1011"/>
    <n v="4421"/>
    <s v="Skimmer"/>
    <n v="45"/>
    <n v="87"/>
    <n v="42"/>
    <n v="8.4"/>
    <x v="0"/>
    <x v="0"/>
    <x v="1"/>
  </r>
  <r>
    <s v="Mar"/>
    <n v="1001"/>
    <n v="2242"/>
    <s v="AutoVac"/>
    <n v="60"/>
    <n v="124"/>
    <n v="64"/>
    <n v="12.8"/>
    <x v="2"/>
    <x v="2"/>
    <x v="4"/>
  </r>
  <r>
    <s v="Sep"/>
    <n v="1002"/>
    <n v="2877"/>
    <s v="Net"/>
    <n v="11.4"/>
    <n v="16.3"/>
    <n v="4.9000000000000004"/>
    <n v="0.49000000000000005"/>
    <x v="0"/>
    <x v="0"/>
    <x v="1"/>
  </r>
  <r>
    <s v="Sep"/>
    <n v="1010"/>
    <n v="2499"/>
    <s v="8 ft Hose"/>
    <n v="6.2"/>
    <n v="9.1999999999999993"/>
    <n v="2.9999999999999991"/>
    <n v="0.29999999999999993"/>
    <x v="0"/>
    <x v="0"/>
    <x v="3"/>
  </r>
  <r>
    <s v="Sep"/>
    <n v="1013"/>
    <n v="2242"/>
    <s v="AutoVac"/>
    <n v="60"/>
    <n v="124"/>
    <n v="64"/>
    <n v="12.8"/>
    <x v="0"/>
    <x v="0"/>
    <x v="0"/>
  </r>
  <r>
    <s v="Sep"/>
    <n v="1017"/>
    <n v="2242"/>
    <s v="AutoVac"/>
    <n v="60"/>
    <n v="124"/>
    <n v="64"/>
    <n v="12.8"/>
    <x v="0"/>
    <x v="0"/>
    <x v="3"/>
  </r>
  <r>
    <s v="Sep"/>
    <n v="1019"/>
    <n v="9121"/>
    <s v="1 Gal Muratic Acid"/>
    <n v="4"/>
    <n v="7"/>
    <n v="3"/>
    <n v="0.30000000000000004"/>
    <x v="0"/>
    <x v="0"/>
    <x v="2"/>
  </r>
  <r>
    <s v="Apr"/>
    <n v="1002"/>
    <n v="2242"/>
    <s v="AutoVac"/>
    <n v="60"/>
    <n v="124"/>
    <n v="64"/>
    <n v="12.8"/>
    <x v="2"/>
    <x v="2"/>
    <x v="4"/>
  </r>
  <r>
    <s v="Oct"/>
    <n v="1014"/>
    <n v="1109"/>
    <s v="Chlorine Test Kit"/>
    <n v="3"/>
    <n v="8"/>
    <n v="5"/>
    <n v="0.5"/>
    <x v="0"/>
    <x v="0"/>
    <x v="5"/>
  </r>
  <r>
    <s v="Oct"/>
    <n v="1019"/>
    <n v="2499"/>
    <s v="8 ft Hose"/>
    <n v="6.2"/>
    <n v="9.1999999999999993"/>
    <n v="2.9999999999999991"/>
    <n v="0.29999999999999993"/>
    <x v="0"/>
    <x v="0"/>
    <x v="0"/>
  </r>
  <r>
    <s v="Nov"/>
    <n v="1007"/>
    <n v="2499"/>
    <s v="8 ft Hose"/>
    <n v="6.2"/>
    <n v="9.1999999999999993"/>
    <n v="2.9999999999999991"/>
    <n v="0.29999999999999993"/>
    <x v="0"/>
    <x v="0"/>
    <x v="0"/>
  </r>
  <r>
    <s v="Nov"/>
    <n v="1009"/>
    <n v="8722"/>
    <s v="Water Pump"/>
    <n v="344"/>
    <n v="502"/>
    <n v="158"/>
    <n v="31.6"/>
    <x v="0"/>
    <x v="0"/>
    <x v="5"/>
  </r>
  <r>
    <s v="Nov"/>
    <n v="1017"/>
    <n v="4421"/>
    <s v="Skimmer"/>
    <n v="45"/>
    <n v="87"/>
    <n v="42"/>
    <n v="8.4"/>
    <x v="0"/>
    <x v="0"/>
    <x v="5"/>
  </r>
  <r>
    <s v="May"/>
    <n v="1018"/>
    <n v="2242"/>
    <s v="AutoVac"/>
    <n v="60"/>
    <n v="124"/>
    <n v="64"/>
    <n v="12.8"/>
    <x v="2"/>
    <x v="2"/>
    <x v="4"/>
  </r>
  <r>
    <s v="Nov"/>
    <n v="1013"/>
    <n v="2242"/>
    <s v="AutoVac"/>
    <n v="60"/>
    <n v="124"/>
    <n v="64"/>
    <n v="12.8"/>
    <x v="2"/>
    <x v="2"/>
    <x v="4"/>
  </r>
  <r>
    <s v="Dec"/>
    <n v="1008"/>
    <n v="4421"/>
    <s v="Skimmer"/>
    <n v="45"/>
    <n v="87"/>
    <n v="42"/>
    <n v="8.4"/>
    <x v="0"/>
    <x v="0"/>
    <x v="5"/>
  </r>
  <r>
    <s v="Dec"/>
    <n v="1010"/>
    <n v="4421"/>
    <s v="Skimmer"/>
    <n v="45"/>
    <n v="87"/>
    <n v="42"/>
    <n v="8.4"/>
    <x v="0"/>
    <x v="0"/>
    <x v="0"/>
  </r>
  <r>
    <s v="Dec"/>
    <n v="1016"/>
    <n v="2242"/>
    <s v="AutoVac"/>
    <n v="60"/>
    <n v="124"/>
    <n v="64"/>
    <n v="12.8"/>
    <x v="0"/>
    <x v="0"/>
    <x v="2"/>
  </r>
  <r>
    <s v="Dec"/>
    <n v="1019"/>
    <n v="2242"/>
    <s v="AutoVac"/>
    <n v="60"/>
    <n v="124"/>
    <n v="64"/>
    <n v="12.8"/>
    <x v="0"/>
    <x v="0"/>
    <x v="3"/>
  </r>
  <r>
    <s v="Jan"/>
    <n v="1002"/>
    <n v="1109"/>
    <s v="Chlorine Test Kit"/>
    <n v="3"/>
    <n v="8"/>
    <n v="5"/>
    <n v="0.5"/>
    <x v="1"/>
    <x v="1"/>
    <x v="1"/>
  </r>
  <r>
    <s v="Jan"/>
    <n v="1005"/>
    <n v="9822"/>
    <s v="Pool Cover"/>
    <n v="58.3"/>
    <n v="98.4"/>
    <n v="40.100000000000009"/>
    <n v="8.0200000000000014"/>
    <x v="1"/>
    <x v="1"/>
    <x v="0"/>
  </r>
  <r>
    <s v="Jan"/>
    <n v="1009"/>
    <n v="4421"/>
    <s v="Skimmer"/>
    <n v="45"/>
    <n v="87"/>
    <n v="42"/>
    <n v="8.4"/>
    <x v="1"/>
    <x v="1"/>
    <x v="3"/>
  </r>
  <r>
    <s v="Jan"/>
    <n v="1010"/>
    <n v="9121"/>
    <s v="1 Gal Muratic Acid"/>
    <n v="4"/>
    <n v="7"/>
    <n v="3"/>
    <n v="0.30000000000000004"/>
    <x v="1"/>
    <x v="1"/>
    <x v="2"/>
  </r>
  <r>
    <s v="Jan"/>
    <n v="1011"/>
    <n v="2499"/>
    <s v="8 ft Hose"/>
    <n v="6.2"/>
    <n v="9.1999999999999993"/>
    <n v="2.9999999999999991"/>
    <n v="0.29999999999999993"/>
    <x v="1"/>
    <x v="1"/>
    <x v="2"/>
  </r>
  <r>
    <s v="Jan"/>
    <n v="1012"/>
    <n v="9822"/>
    <s v="Pool Cover"/>
    <n v="58.3"/>
    <n v="98.4"/>
    <n v="40.100000000000009"/>
    <n v="8.0200000000000014"/>
    <x v="1"/>
    <x v="1"/>
    <x v="5"/>
  </r>
  <r>
    <s v="Jan"/>
    <n v="1015"/>
    <n v="2877"/>
    <s v="Net"/>
    <n v="11.4"/>
    <n v="16.3"/>
    <n v="4.9000000000000004"/>
    <n v="0.49000000000000005"/>
    <x v="1"/>
    <x v="1"/>
    <x v="1"/>
  </r>
  <r>
    <s v="Jan"/>
    <n v="1018"/>
    <n v="2499"/>
    <s v="8 ft Hose"/>
    <n v="6.2"/>
    <n v="9.1999999999999993"/>
    <n v="2.9999999999999991"/>
    <n v="0.29999999999999993"/>
    <x v="1"/>
    <x v="1"/>
    <x v="3"/>
  </r>
  <r>
    <s v="Oct"/>
    <n v="1010"/>
    <n v="2242"/>
    <s v="AutoVac"/>
    <n v="60"/>
    <n v="124"/>
    <n v="64"/>
    <n v="12.8"/>
    <x v="3"/>
    <x v="3"/>
    <x v="4"/>
  </r>
  <r>
    <s v="Feb"/>
    <n v="1008"/>
    <n v="2877"/>
    <s v="Net"/>
    <n v="11.4"/>
    <n v="16.3"/>
    <n v="4.9000000000000004"/>
    <n v="0.49000000000000005"/>
    <x v="1"/>
    <x v="1"/>
    <x v="2"/>
  </r>
  <r>
    <s v="Feb"/>
    <n v="1010"/>
    <n v="2242"/>
    <s v="AutoVac"/>
    <n v="60"/>
    <n v="124"/>
    <n v="64"/>
    <n v="12.8"/>
    <x v="1"/>
    <x v="1"/>
    <x v="5"/>
  </r>
  <r>
    <s v="Feb"/>
    <n v="1011"/>
    <n v="9822"/>
    <s v="Pool Cover"/>
    <n v="58.3"/>
    <n v="98.4"/>
    <n v="40.100000000000009"/>
    <n v="8.0200000000000014"/>
    <x v="1"/>
    <x v="1"/>
    <x v="5"/>
  </r>
  <r>
    <s v="Feb"/>
    <n v="1014"/>
    <n v="9121"/>
    <s v="1 Gal Muratic Acid"/>
    <n v="4"/>
    <n v="7"/>
    <n v="3"/>
    <n v="0.30000000000000004"/>
    <x v="1"/>
    <x v="1"/>
    <x v="2"/>
  </r>
  <r>
    <s v="Feb"/>
    <n v="1017"/>
    <n v="2499"/>
    <s v="8 ft Hose"/>
    <n v="6.2"/>
    <n v="9.1999999999999993"/>
    <n v="2.9999999999999991"/>
    <n v="0.29999999999999993"/>
    <x v="1"/>
    <x v="1"/>
    <x v="0"/>
  </r>
  <r>
    <s v="Mar"/>
    <n v="1003"/>
    <n v="9822"/>
    <s v="Pool Cover"/>
    <n v="58.3"/>
    <n v="98.4"/>
    <n v="40.100000000000009"/>
    <n v="8.0200000000000014"/>
    <x v="1"/>
    <x v="1"/>
    <x v="3"/>
  </r>
  <r>
    <s v="Mar"/>
    <n v="1004"/>
    <n v="2877"/>
    <s v="Net"/>
    <n v="11.4"/>
    <n v="16.3"/>
    <n v="4.9000000000000004"/>
    <n v="0.49000000000000005"/>
    <x v="1"/>
    <x v="1"/>
    <x v="0"/>
  </r>
  <r>
    <s v="Mar"/>
    <n v="1008"/>
    <n v="1109"/>
    <s v="Chlorine Test Kit"/>
    <n v="3"/>
    <n v="8"/>
    <n v="5"/>
    <n v="0.5"/>
    <x v="1"/>
    <x v="1"/>
    <x v="3"/>
  </r>
  <r>
    <s v="Mar"/>
    <n v="1013"/>
    <n v="9121"/>
    <s v="1 Gal Muratic Acid"/>
    <n v="4"/>
    <n v="7"/>
    <n v="3"/>
    <n v="0.30000000000000004"/>
    <x v="1"/>
    <x v="1"/>
    <x v="5"/>
  </r>
  <r>
    <s v="Mar"/>
    <n v="1015"/>
    <n v="8722"/>
    <s v="Water Pump"/>
    <n v="344"/>
    <n v="502"/>
    <n v="158"/>
    <n v="31.6"/>
    <x v="1"/>
    <x v="1"/>
    <x v="3"/>
  </r>
  <r>
    <s v="Mar"/>
    <n v="1017"/>
    <n v="9822"/>
    <s v="Pool Cover"/>
    <n v="58.3"/>
    <n v="98.4"/>
    <n v="40.100000000000009"/>
    <n v="8.0200000000000014"/>
    <x v="1"/>
    <x v="1"/>
    <x v="5"/>
  </r>
  <r>
    <s v="Mar"/>
    <n v="1019"/>
    <n v="2499"/>
    <s v="8 ft Hose"/>
    <n v="6.2"/>
    <n v="9.1999999999999993"/>
    <n v="2.9999999999999991"/>
    <n v="0.29999999999999993"/>
    <x v="1"/>
    <x v="1"/>
    <x v="0"/>
  </r>
  <r>
    <s v="Apr"/>
    <n v="1009"/>
    <n v="2499"/>
    <s v="8 ft Hose"/>
    <n v="6.2"/>
    <n v="9.1999999999999993"/>
    <n v="2.9999999999999991"/>
    <n v="0.29999999999999993"/>
    <x v="1"/>
    <x v="1"/>
    <x v="3"/>
  </r>
  <r>
    <s v="Apr"/>
    <n v="1014"/>
    <n v="2242"/>
    <s v="AutoVac"/>
    <n v="60"/>
    <n v="124"/>
    <n v="64"/>
    <n v="12.8"/>
    <x v="1"/>
    <x v="1"/>
    <x v="0"/>
  </r>
  <r>
    <s v="Apr"/>
    <n v="1018"/>
    <n v="8722"/>
    <s v="Water Pump"/>
    <n v="344"/>
    <n v="502"/>
    <n v="158"/>
    <n v="31.6"/>
    <x v="1"/>
    <x v="1"/>
    <x v="5"/>
  </r>
  <r>
    <s v="Apr"/>
    <n v="1019"/>
    <n v="8722"/>
    <s v="Water Pump"/>
    <n v="344"/>
    <n v="502"/>
    <n v="158"/>
    <n v="31.6"/>
    <x v="1"/>
    <x v="1"/>
    <x v="5"/>
  </r>
  <r>
    <s v="May"/>
    <n v="1003"/>
    <n v="8722"/>
    <s v="Water Pump"/>
    <n v="344"/>
    <n v="502"/>
    <n v="158"/>
    <n v="31.6"/>
    <x v="1"/>
    <x v="1"/>
    <x v="3"/>
  </r>
  <r>
    <s v="May"/>
    <n v="1009"/>
    <n v="2499"/>
    <s v="8 ft Hose"/>
    <n v="6.2"/>
    <n v="9.1999999999999993"/>
    <n v="2.9999999999999991"/>
    <n v="0.29999999999999993"/>
    <x v="1"/>
    <x v="1"/>
    <x v="0"/>
  </r>
  <r>
    <s v="Jun"/>
    <n v="1001"/>
    <n v="2877"/>
    <s v="Net"/>
    <n v="11.4"/>
    <n v="16.3"/>
    <n v="4.9000000000000004"/>
    <n v="0.49000000000000005"/>
    <x v="1"/>
    <x v="1"/>
    <x v="5"/>
  </r>
  <r>
    <s v="Jun"/>
    <n v="1006"/>
    <n v="1109"/>
    <s v="Chlorine Test Kit"/>
    <n v="3"/>
    <n v="8"/>
    <n v="5"/>
    <n v="0.5"/>
    <x v="1"/>
    <x v="1"/>
    <x v="3"/>
  </r>
  <r>
    <s v="Jun"/>
    <n v="1013"/>
    <n v="2499"/>
    <s v="8 ft Hose"/>
    <n v="6.2"/>
    <n v="9.1999999999999993"/>
    <n v="2.9999999999999991"/>
    <n v="0.29999999999999993"/>
    <x v="1"/>
    <x v="1"/>
    <x v="2"/>
  </r>
  <r>
    <s v="Jun"/>
    <n v="1015"/>
    <n v="2499"/>
    <s v="8 ft Hose"/>
    <n v="6.2"/>
    <n v="9.1999999999999993"/>
    <n v="2.9999999999999991"/>
    <n v="0.29999999999999993"/>
    <x v="1"/>
    <x v="1"/>
    <x v="2"/>
  </r>
  <r>
    <s v="Jun"/>
    <n v="1016"/>
    <n v="2877"/>
    <s v="Net"/>
    <n v="11.4"/>
    <n v="16.3"/>
    <n v="4.9000000000000004"/>
    <n v="0.49000000000000005"/>
    <x v="1"/>
    <x v="1"/>
    <x v="3"/>
  </r>
  <r>
    <s v="Mar"/>
    <n v="1018"/>
    <n v="9822"/>
    <s v="Pool Cover"/>
    <n v="58.3"/>
    <n v="98.4"/>
    <n v="40.100000000000009"/>
    <n v="8.0200000000000014"/>
    <x v="0"/>
    <x v="0"/>
    <x v="4"/>
  </r>
  <r>
    <s v="Jul"/>
    <n v="1006"/>
    <n v="2242"/>
    <s v="AutoVac"/>
    <n v="60"/>
    <n v="124"/>
    <n v="64"/>
    <n v="12.8"/>
    <x v="1"/>
    <x v="1"/>
    <x v="5"/>
  </r>
  <r>
    <s v="Jul"/>
    <n v="1010"/>
    <n v="2242"/>
    <s v="AutoVac"/>
    <n v="60"/>
    <n v="124"/>
    <n v="64"/>
    <n v="12.8"/>
    <x v="1"/>
    <x v="1"/>
    <x v="0"/>
  </r>
  <r>
    <s v="Jul"/>
    <n v="1015"/>
    <n v="2877"/>
    <s v="Net"/>
    <n v="11.4"/>
    <n v="16.3"/>
    <n v="4.9000000000000004"/>
    <n v="0.49000000000000005"/>
    <x v="1"/>
    <x v="1"/>
    <x v="2"/>
  </r>
  <r>
    <s v="Aug"/>
    <n v="1003"/>
    <n v="2877"/>
    <s v="Net"/>
    <n v="11.4"/>
    <n v="16.3"/>
    <n v="4.9000000000000004"/>
    <n v="0.49000000000000005"/>
    <x v="1"/>
    <x v="1"/>
    <x v="5"/>
  </r>
  <r>
    <s v="Aug"/>
    <n v="1005"/>
    <n v="2499"/>
    <s v="8 ft Hose"/>
    <n v="6.2"/>
    <n v="9.1999999999999993"/>
    <n v="2.9999999999999991"/>
    <n v="0.29999999999999993"/>
    <x v="1"/>
    <x v="1"/>
    <x v="2"/>
  </r>
  <r>
    <s v="Aug"/>
    <n v="1006"/>
    <n v="1109"/>
    <s v="Chlorine Test Kit"/>
    <n v="3"/>
    <n v="8"/>
    <n v="5"/>
    <n v="0.5"/>
    <x v="1"/>
    <x v="1"/>
    <x v="0"/>
  </r>
  <r>
    <s v="Aug"/>
    <n v="1008"/>
    <n v="2242"/>
    <s v="AutoVac"/>
    <n v="60"/>
    <n v="124"/>
    <n v="64"/>
    <n v="12.8"/>
    <x v="1"/>
    <x v="1"/>
    <x v="5"/>
  </r>
  <r>
    <s v="Apr"/>
    <n v="1011"/>
    <n v="9822"/>
    <s v="Pool Cover"/>
    <n v="58.3"/>
    <n v="98.4"/>
    <n v="40.100000000000009"/>
    <n v="8.0200000000000014"/>
    <x v="0"/>
    <x v="0"/>
    <x v="4"/>
  </r>
  <r>
    <s v="Aug"/>
    <n v="1012"/>
    <n v="2499"/>
    <s v="8 ft Hose"/>
    <n v="6.2"/>
    <n v="9.1999999999999993"/>
    <n v="2.9999999999999991"/>
    <n v="0.29999999999999993"/>
    <x v="1"/>
    <x v="1"/>
    <x v="0"/>
  </r>
  <r>
    <s v="Aug"/>
    <n v="1017"/>
    <n v="1109"/>
    <s v="Chlorine Test Kit"/>
    <n v="3"/>
    <n v="8"/>
    <n v="5"/>
    <n v="0.5"/>
    <x v="1"/>
    <x v="1"/>
    <x v="1"/>
  </r>
  <r>
    <s v="Sep"/>
    <n v="1001"/>
    <n v="1109"/>
    <s v="Chlorine Test Kit"/>
    <n v="3"/>
    <n v="8"/>
    <n v="5"/>
    <n v="0.5"/>
    <x v="1"/>
    <x v="1"/>
    <x v="1"/>
  </r>
  <r>
    <s v="Aug"/>
    <n v="1001"/>
    <n v="9822"/>
    <s v="Pool Cover"/>
    <n v="58.3"/>
    <n v="98.4"/>
    <n v="40.100000000000009"/>
    <n v="8.0200000000000014"/>
    <x v="3"/>
    <x v="3"/>
    <x v="4"/>
  </r>
  <r>
    <s v="Sep"/>
    <n v="1004"/>
    <n v="4421"/>
    <s v="Skimmer"/>
    <n v="45"/>
    <n v="87"/>
    <n v="42"/>
    <n v="8.4"/>
    <x v="1"/>
    <x v="1"/>
    <x v="2"/>
  </r>
  <r>
    <s v="Sep"/>
    <n v="1006"/>
    <n v="2499"/>
    <s v="8 ft Hose"/>
    <n v="6.2"/>
    <n v="9.1999999999999993"/>
    <n v="2.9999999999999991"/>
    <n v="0.29999999999999993"/>
    <x v="1"/>
    <x v="1"/>
    <x v="0"/>
  </r>
  <r>
    <s v="Sep"/>
    <n v="1008"/>
    <n v="8722"/>
    <s v="Water Pump"/>
    <n v="344"/>
    <n v="502"/>
    <n v="158"/>
    <n v="31.6"/>
    <x v="1"/>
    <x v="1"/>
    <x v="0"/>
  </r>
  <r>
    <s v="Sep"/>
    <n v="1011"/>
    <n v="8722"/>
    <s v="Water Pump"/>
    <n v="344"/>
    <n v="502"/>
    <n v="158"/>
    <n v="31.6"/>
    <x v="1"/>
    <x v="1"/>
    <x v="1"/>
  </r>
  <r>
    <s v="Nov"/>
    <n v="1016"/>
    <n v="9822"/>
    <s v="Pool Cover"/>
    <n v="58.3"/>
    <n v="98.4"/>
    <n v="40.100000000000009"/>
    <n v="8.0200000000000014"/>
    <x v="3"/>
    <x v="3"/>
    <x v="4"/>
  </r>
  <r>
    <s v="Sep"/>
    <n v="1018"/>
    <n v="2242"/>
    <s v="AutoVac"/>
    <n v="60"/>
    <n v="124"/>
    <n v="64"/>
    <n v="12.8"/>
    <x v="1"/>
    <x v="1"/>
    <x v="1"/>
  </r>
  <r>
    <s v="Sep"/>
    <n v="1020"/>
    <n v="4421"/>
    <s v="Skimmer"/>
    <n v="45"/>
    <n v="87"/>
    <n v="42"/>
    <n v="8.4"/>
    <x v="1"/>
    <x v="1"/>
    <x v="5"/>
  </r>
  <r>
    <s v="Oct"/>
    <n v="1003"/>
    <n v="8722"/>
    <s v="Water Pump"/>
    <n v="344"/>
    <n v="502"/>
    <n v="158"/>
    <n v="31.6"/>
    <x v="1"/>
    <x v="1"/>
    <x v="0"/>
  </r>
  <r>
    <s v="Oct"/>
    <n v="1004"/>
    <n v="8722"/>
    <s v="Water Pump"/>
    <n v="344"/>
    <n v="502"/>
    <n v="158"/>
    <n v="31.6"/>
    <x v="1"/>
    <x v="1"/>
    <x v="3"/>
  </r>
  <r>
    <s v="Oct"/>
    <n v="1005"/>
    <n v="2242"/>
    <s v="AutoVac"/>
    <n v="60"/>
    <n v="124"/>
    <n v="64"/>
    <n v="12.8"/>
    <x v="1"/>
    <x v="1"/>
    <x v="1"/>
  </r>
  <r>
    <s v="Oct"/>
    <n v="1008"/>
    <n v="4421"/>
    <s v="Skimmer"/>
    <n v="45"/>
    <n v="87"/>
    <n v="42"/>
    <n v="8.4"/>
    <x v="0"/>
    <x v="0"/>
    <x v="4"/>
  </r>
  <r>
    <s v="Oct"/>
    <n v="1015"/>
    <n v="2242"/>
    <s v="AutoVac"/>
    <n v="60"/>
    <n v="124"/>
    <n v="64"/>
    <n v="12.8"/>
    <x v="1"/>
    <x v="1"/>
    <x v="5"/>
  </r>
  <r>
    <s v="Dec"/>
    <n v="1003"/>
    <n v="4421"/>
    <s v="Skimmer"/>
    <n v="45"/>
    <n v="87"/>
    <n v="42"/>
    <n v="8.4"/>
    <x v="0"/>
    <x v="0"/>
    <x v="4"/>
  </r>
  <r>
    <s v="Nov"/>
    <n v="1012"/>
    <n v="2242"/>
    <s v="AutoVac"/>
    <n v="60"/>
    <n v="124"/>
    <n v="64"/>
    <n v="12.8"/>
    <x v="1"/>
    <x v="1"/>
    <x v="0"/>
  </r>
  <r>
    <s v="Nov"/>
    <n v="1015"/>
    <n v="2242"/>
    <s v="AutoVac"/>
    <n v="60"/>
    <n v="124"/>
    <n v="64"/>
    <n v="12.8"/>
    <x v="1"/>
    <x v="1"/>
    <x v="5"/>
  </r>
  <r>
    <s v="Dec"/>
    <n v="1004"/>
    <n v="2499"/>
    <s v="8 ft Hose"/>
    <n v="6.2"/>
    <n v="9.1999999999999993"/>
    <n v="2.9999999999999991"/>
    <n v="0.29999999999999993"/>
    <x v="1"/>
    <x v="1"/>
    <x v="2"/>
  </r>
  <r>
    <s v="Dec"/>
    <n v="1005"/>
    <n v="2499"/>
    <s v="8 ft Hose"/>
    <n v="6.2"/>
    <n v="9.1999999999999993"/>
    <n v="2.9999999999999991"/>
    <n v="0.29999999999999993"/>
    <x v="1"/>
    <x v="1"/>
    <x v="5"/>
  </r>
  <r>
    <s v="Dec"/>
    <n v="1009"/>
    <n v="9121"/>
    <s v="1 Gal Muratic Acid"/>
    <n v="4"/>
    <n v="7"/>
    <n v="3"/>
    <n v="0.30000000000000004"/>
    <x v="1"/>
    <x v="1"/>
    <x v="5"/>
  </r>
  <r>
    <s v="Dec"/>
    <n v="1017"/>
    <n v="2242"/>
    <s v="AutoVac"/>
    <n v="60"/>
    <n v="124"/>
    <n v="64"/>
    <n v="12.8"/>
    <x v="1"/>
    <x v="1"/>
    <x v="1"/>
  </r>
  <r>
    <s v="Jan"/>
    <n v="1014"/>
    <n v="9121"/>
    <s v="1 Gal Muratic Acid"/>
    <n v="4"/>
    <n v="7"/>
    <n v="3"/>
    <n v="0.30000000000000004"/>
    <x v="2"/>
    <x v="2"/>
    <x v="0"/>
  </r>
  <r>
    <s v="Jan"/>
    <n v="1016"/>
    <n v="2877"/>
    <s v="Net"/>
    <n v="11.4"/>
    <n v="16.3"/>
    <n v="4.9000000000000004"/>
    <n v="0.49000000000000005"/>
    <x v="2"/>
    <x v="2"/>
    <x v="5"/>
  </r>
  <r>
    <s v="Jan"/>
    <n v="1020"/>
    <n v="8722"/>
    <s v="Water Pump"/>
    <n v="344"/>
    <n v="502"/>
    <n v="158"/>
    <n v="31.6"/>
    <x v="2"/>
    <x v="2"/>
    <x v="5"/>
  </r>
  <r>
    <s v="Feb"/>
    <n v="1002"/>
    <n v="1109"/>
    <s v="Chlorine Test Kit"/>
    <n v="3"/>
    <n v="8"/>
    <n v="5"/>
    <n v="0.5"/>
    <x v="2"/>
    <x v="2"/>
    <x v="2"/>
  </r>
  <r>
    <s v="Feb"/>
    <n v="1007"/>
    <n v="2242"/>
    <s v="AutoVac"/>
    <n v="60"/>
    <n v="124"/>
    <n v="64"/>
    <n v="12.8"/>
    <x v="2"/>
    <x v="2"/>
    <x v="5"/>
  </r>
  <r>
    <s v="Feb"/>
    <n v="1012"/>
    <n v="1109"/>
    <s v="Chlorine Test Kit"/>
    <n v="3"/>
    <n v="8"/>
    <n v="5"/>
    <n v="0.5"/>
    <x v="2"/>
    <x v="2"/>
    <x v="3"/>
  </r>
  <r>
    <s v="Feb"/>
    <n v="1013"/>
    <n v="1109"/>
    <s v="Chlorine Test Kit"/>
    <n v="3"/>
    <n v="8"/>
    <n v="5"/>
    <n v="0.5"/>
    <x v="2"/>
    <x v="2"/>
    <x v="2"/>
  </r>
  <r>
    <s v="Feb"/>
    <n v="1015"/>
    <n v="2242"/>
    <s v="AutoVac"/>
    <n v="60"/>
    <n v="124"/>
    <n v="64"/>
    <n v="12.8"/>
    <x v="2"/>
    <x v="2"/>
    <x v="2"/>
  </r>
  <r>
    <s v="Feb"/>
    <n v="1020"/>
    <n v="4421"/>
    <s v="Skimmer"/>
    <n v="45"/>
    <n v="87"/>
    <n v="42"/>
    <n v="8.4"/>
    <x v="2"/>
    <x v="2"/>
    <x v="0"/>
  </r>
  <r>
    <s v="Jun"/>
    <n v="1018"/>
    <n v="4421"/>
    <s v="Skimmer"/>
    <n v="45"/>
    <n v="87"/>
    <n v="42"/>
    <n v="8.4"/>
    <x v="1"/>
    <x v="1"/>
    <x v="4"/>
  </r>
  <r>
    <s v="Mar"/>
    <n v="1006"/>
    <n v="2242"/>
    <s v="AutoVac"/>
    <n v="60"/>
    <n v="124"/>
    <n v="64"/>
    <n v="12.8"/>
    <x v="2"/>
    <x v="2"/>
    <x v="2"/>
  </r>
  <r>
    <s v="Mar"/>
    <n v="1009"/>
    <n v="9822"/>
    <s v="Pool Cover"/>
    <n v="58.3"/>
    <n v="98.4"/>
    <n v="40.100000000000009"/>
    <n v="8.0200000000000014"/>
    <x v="2"/>
    <x v="2"/>
    <x v="0"/>
  </r>
  <r>
    <s v="Mar"/>
    <n v="1011"/>
    <n v="9822"/>
    <s v="Pool Cover"/>
    <n v="58.3"/>
    <n v="98.4"/>
    <n v="40.100000000000009"/>
    <n v="8.0200000000000014"/>
    <x v="2"/>
    <x v="2"/>
    <x v="5"/>
  </r>
  <r>
    <s v="Mar"/>
    <n v="1012"/>
    <n v="9822"/>
    <s v="Pool Cover"/>
    <n v="58.3"/>
    <n v="98.4"/>
    <n v="40.100000000000009"/>
    <n v="8.0200000000000014"/>
    <x v="2"/>
    <x v="2"/>
    <x v="2"/>
  </r>
  <r>
    <s v="Mar"/>
    <n v="1016"/>
    <n v="9121"/>
    <s v="1 Gal Muratic Acid"/>
    <n v="4"/>
    <n v="7"/>
    <n v="3"/>
    <n v="0.30000000000000004"/>
    <x v="2"/>
    <x v="2"/>
    <x v="1"/>
  </r>
  <r>
    <s v="Mar"/>
    <n v="1020"/>
    <n v="9121"/>
    <s v="1 Gal Muratic Acid"/>
    <n v="4"/>
    <n v="7"/>
    <n v="3"/>
    <n v="0.30000000000000004"/>
    <x v="2"/>
    <x v="2"/>
    <x v="2"/>
  </r>
  <r>
    <s v="Nov"/>
    <n v="1004"/>
    <n v="4421"/>
    <s v="Skimmer"/>
    <n v="45"/>
    <n v="87"/>
    <n v="42"/>
    <n v="8.4"/>
    <x v="1"/>
    <x v="1"/>
    <x v="4"/>
  </r>
  <r>
    <s v="Apr"/>
    <n v="1004"/>
    <n v="1109"/>
    <s v="Chlorine Test Kit"/>
    <n v="3"/>
    <n v="8"/>
    <n v="5"/>
    <n v="0.5"/>
    <x v="2"/>
    <x v="2"/>
    <x v="0"/>
  </r>
  <r>
    <s v="Apr"/>
    <n v="1007"/>
    <n v="9121"/>
    <s v="1 Gal Muratic Acid"/>
    <n v="4"/>
    <n v="7"/>
    <n v="3"/>
    <n v="0.30000000000000004"/>
    <x v="2"/>
    <x v="2"/>
    <x v="1"/>
  </r>
  <r>
    <s v="Apr"/>
    <n v="1010"/>
    <n v="1109"/>
    <s v="Chlorine Test Kit"/>
    <n v="3"/>
    <n v="8"/>
    <n v="5"/>
    <n v="0.5"/>
    <x v="2"/>
    <x v="2"/>
    <x v="0"/>
  </r>
  <r>
    <s v="Apr"/>
    <n v="1016"/>
    <n v="2499"/>
    <s v="8 ft Hose"/>
    <n v="6.2"/>
    <n v="9.1999999999999993"/>
    <n v="2.9999999999999991"/>
    <n v="0.29999999999999993"/>
    <x v="2"/>
    <x v="2"/>
    <x v="0"/>
  </r>
  <r>
    <s v="May"/>
    <n v="1007"/>
    <n v="2877"/>
    <s v="Net"/>
    <n v="11.4"/>
    <n v="16.3"/>
    <n v="4.9000000000000004"/>
    <n v="0.49000000000000005"/>
    <x v="2"/>
    <x v="2"/>
    <x v="3"/>
  </r>
  <r>
    <s v="May"/>
    <n v="1010"/>
    <n v="2499"/>
    <s v="8 ft Hose"/>
    <n v="6.2"/>
    <n v="9.1999999999999993"/>
    <n v="2.9999999999999991"/>
    <n v="0.29999999999999993"/>
    <x v="2"/>
    <x v="2"/>
    <x v="3"/>
  </r>
  <r>
    <s v="May"/>
    <n v="1011"/>
    <n v="4421"/>
    <s v="Skimmer"/>
    <n v="45"/>
    <n v="87"/>
    <n v="42"/>
    <n v="8.4"/>
    <x v="2"/>
    <x v="2"/>
    <x v="1"/>
  </r>
  <r>
    <s v="May"/>
    <n v="1015"/>
    <n v="1109"/>
    <s v="Chlorine Test Kit"/>
    <n v="3"/>
    <n v="8"/>
    <n v="5"/>
    <n v="0.5"/>
    <x v="2"/>
    <x v="2"/>
    <x v="1"/>
  </r>
  <r>
    <s v="Sep"/>
    <n v="1007"/>
    <n v="4421"/>
    <s v="Skimmer"/>
    <n v="45"/>
    <n v="87"/>
    <n v="42"/>
    <n v="8.4"/>
    <x v="2"/>
    <x v="2"/>
    <x v="4"/>
  </r>
  <r>
    <s v="May"/>
    <n v="1020"/>
    <n v="2499"/>
    <s v="8 ft Hose"/>
    <n v="6.2"/>
    <n v="9.1999999999999993"/>
    <n v="2.9999999999999991"/>
    <n v="0.29999999999999993"/>
    <x v="2"/>
    <x v="2"/>
    <x v="3"/>
  </r>
  <r>
    <s v="Jun"/>
    <n v="1003"/>
    <n v="2242"/>
    <s v="AutoVac"/>
    <n v="60"/>
    <n v="124"/>
    <n v="64"/>
    <n v="12.8"/>
    <x v="2"/>
    <x v="2"/>
    <x v="2"/>
  </r>
  <r>
    <s v="Jun"/>
    <n v="1007"/>
    <n v="4421"/>
    <s v="Skimmer"/>
    <n v="45"/>
    <n v="87"/>
    <n v="42"/>
    <n v="8.4"/>
    <x v="2"/>
    <x v="2"/>
    <x v="2"/>
  </r>
  <r>
    <s v="Jun"/>
    <n v="1009"/>
    <n v="4421"/>
    <s v="Skimmer"/>
    <n v="45"/>
    <n v="87"/>
    <n v="42"/>
    <n v="8.4"/>
    <x v="2"/>
    <x v="2"/>
    <x v="5"/>
  </r>
  <r>
    <s v="Sep"/>
    <n v="1016"/>
    <n v="4421"/>
    <s v="Skimmer"/>
    <n v="45"/>
    <n v="87"/>
    <n v="42"/>
    <n v="8.4"/>
    <x v="2"/>
    <x v="2"/>
    <x v="4"/>
  </r>
  <r>
    <s v="Jul"/>
    <n v="1001"/>
    <n v="9121"/>
    <s v="1 Gal Muratic Acid"/>
    <n v="4"/>
    <n v="7"/>
    <n v="3"/>
    <n v="0.30000000000000004"/>
    <x v="2"/>
    <x v="2"/>
    <x v="5"/>
  </r>
  <r>
    <s v="Oct"/>
    <n v="1018"/>
    <n v="4421"/>
    <s v="Skimmer"/>
    <n v="45"/>
    <n v="87"/>
    <n v="42"/>
    <n v="8.4"/>
    <x v="2"/>
    <x v="2"/>
    <x v="4"/>
  </r>
  <r>
    <s v="Jul"/>
    <n v="1004"/>
    <n v="9121"/>
    <s v="1 Gal Muratic Acid"/>
    <n v="4"/>
    <n v="7"/>
    <n v="3"/>
    <n v="0.30000000000000004"/>
    <x v="2"/>
    <x v="2"/>
    <x v="3"/>
  </r>
  <r>
    <s v="Jul"/>
    <n v="1005"/>
    <n v="9822"/>
    <s v="Pool Cover"/>
    <n v="58.3"/>
    <n v="98.4"/>
    <n v="40.100000000000009"/>
    <n v="8.0200000000000014"/>
    <x v="2"/>
    <x v="2"/>
    <x v="0"/>
  </r>
  <r>
    <s v="Jul"/>
    <n v="1009"/>
    <n v="8722"/>
    <s v="Water Pump"/>
    <n v="344"/>
    <n v="502"/>
    <n v="158"/>
    <n v="31.6"/>
    <x v="2"/>
    <x v="2"/>
    <x v="0"/>
  </r>
  <r>
    <s v="Jul"/>
    <n v="1014"/>
    <n v="2499"/>
    <s v="8 ft Hose"/>
    <n v="6.2"/>
    <n v="9.1999999999999993"/>
    <n v="2.9999999999999991"/>
    <n v="0.29999999999999993"/>
    <x v="2"/>
    <x v="2"/>
    <x v="2"/>
  </r>
  <r>
    <s v="Jul"/>
    <n v="1017"/>
    <n v="8722"/>
    <s v="Water Pump"/>
    <n v="344"/>
    <n v="502"/>
    <n v="158"/>
    <n v="31.6"/>
    <x v="2"/>
    <x v="2"/>
    <x v="3"/>
  </r>
  <r>
    <s v="Jul"/>
    <n v="1019"/>
    <n v="2499"/>
    <s v="8 ft Hose"/>
    <n v="6.2"/>
    <n v="9.1999999999999993"/>
    <n v="2.9999999999999991"/>
    <n v="0.29999999999999993"/>
    <x v="2"/>
    <x v="2"/>
    <x v="3"/>
  </r>
  <r>
    <s v="Aug"/>
    <n v="1004"/>
    <n v="9121"/>
    <s v="1 Gal Muratic Acid"/>
    <n v="4"/>
    <n v="7"/>
    <n v="3"/>
    <n v="0.30000000000000004"/>
    <x v="2"/>
    <x v="2"/>
    <x v="1"/>
  </r>
  <r>
    <s v="Aug"/>
    <n v="1013"/>
    <n v="2499"/>
    <s v="8 ft Hose"/>
    <n v="6.2"/>
    <n v="9.1999999999999993"/>
    <n v="2.9999999999999991"/>
    <n v="0.29999999999999993"/>
    <x v="2"/>
    <x v="2"/>
    <x v="3"/>
  </r>
  <r>
    <s v="Jan"/>
    <n v="1003"/>
    <n v="4421"/>
    <s v="Skimmer"/>
    <n v="45"/>
    <n v="87"/>
    <n v="42"/>
    <n v="8.4"/>
    <x v="3"/>
    <x v="3"/>
    <x v="4"/>
  </r>
  <r>
    <s v="Apr"/>
    <n v="1008"/>
    <n v="4421"/>
    <s v="Skimmer"/>
    <n v="45"/>
    <n v="87"/>
    <n v="42"/>
    <n v="8.4"/>
    <x v="3"/>
    <x v="3"/>
    <x v="4"/>
  </r>
  <r>
    <s v="Apr"/>
    <n v="1020"/>
    <n v="4421"/>
    <s v="Skimmer"/>
    <n v="45"/>
    <n v="87"/>
    <n v="42"/>
    <n v="8.4"/>
    <x v="3"/>
    <x v="3"/>
    <x v="4"/>
  </r>
  <r>
    <s v="Jun"/>
    <n v="1011"/>
    <n v="4421"/>
    <s v="Skimmer"/>
    <n v="45"/>
    <n v="87"/>
    <n v="42"/>
    <n v="8.4"/>
    <x v="3"/>
    <x v="3"/>
    <x v="4"/>
  </r>
  <r>
    <s v="Oct"/>
    <n v="1006"/>
    <n v="9121"/>
    <s v="1 Gal Muratic Acid"/>
    <n v="4"/>
    <n v="7"/>
    <n v="3"/>
    <n v="0.30000000000000004"/>
    <x v="2"/>
    <x v="2"/>
    <x v="2"/>
  </r>
  <r>
    <s v="Oct"/>
    <n v="1007"/>
    <n v="4421"/>
    <s v="Skimmer"/>
    <n v="45"/>
    <n v="87"/>
    <n v="42"/>
    <n v="8.4"/>
    <x v="2"/>
    <x v="2"/>
    <x v="3"/>
  </r>
  <r>
    <s v="Oct"/>
    <n v="1009"/>
    <n v="9121"/>
    <s v="1 Gal Muratic Acid"/>
    <n v="4"/>
    <n v="7"/>
    <n v="3"/>
    <n v="0.30000000000000004"/>
    <x v="2"/>
    <x v="2"/>
    <x v="5"/>
  </r>
  <r>
    <s v="Apr"/>
    <n v="1006"/>
    <n v="2877"/>
    <s v="Net"/>
    <n v="11.4"/>
    <n v="16.3"/>
    <n v="4.9000000000000004"/>
    <n v="0.49000000000000005"/>
    <x v="0"/>
    <x v="0"/>
    <x v="4"/>
  </r>
  <r>
    <s v="Sep"/>
    <n v="1003"/>
    <n v="2877"/>
    <s v="Net"/>
    <n v="11.4"/>
    <n v="16.3"/>
    <n v="4.9000000000000004"/>
    <n v="0.49000000000000005"/>
    <x v="1"/>
    <x v="1"/>
    <x v="4"/>
  </r>
  <r>
    <s v="Sep"/>
    <n v="1015"/>
    <n v="2877"/>
    <s v="Net"/>
    <n v="11.4"/>
    <n v="16.3"/>
    <n v="4.9000000000000004"/>
    <n v="0.49000000000000005"/>
    <x v="1"/>
    <x v="1"/>
    <x v="4"/>
  </r>
  <r>
    <s v="Nov"/>
    <n v="1001"/>
    <n v="2877"/>
    <s v="Net"/>
    <n v="11.4"/>
    <n v="16.3"/>
    <n v="4.9000000000000004"/>
    <n v="0.49000000000000005"/>
    <x v="2"/>
    <x v="2"/>
    <x v="3"/>
  </r>
  <r>
    <s v="Nov"/>
    <n v="1002"/>
    <n v="9822"/>
    <s v="Pool Cover"/>
    <n v="58.3"/>
    <n v="98.4"/>
    <n v="40.100000000000009"/>
    <n v="8.0200000000000014"/>
    <x v="2"/>
    <x v="2"/>
    <x v="0"/>
  </r>
  <r>
    <s v="Nov"/>
    <n v="1006"/>
    <n v="1109"/>
    <s v="Chlorine Test Kit"/>
    <n v="3"/>
    <n v="8"/>
    <n v="5"/>
    <n v="0.5"/>
    <x v="2"/>
    <x v="2"/>
    <x v="2"/>
  </r>
  <r>
    <s v="Nov"/>
    <n v="1008"/>
    <n v="1109"/>
    <s v="Chlorine Test Kit"/>
    <n v="3"/>
    <n v="8"/>
    <n v="5"/>
    <n v="0.5"/>
    <x v="2"/>
    <x v="2"/>
    <x v="1"/>
  </r>
  <r>
    <s v="Nov"/>
    <n v="1010"/>
    <n v="2242"/>
    <s v="AutoVac"/>
    <n v="60"/>
    <n v="124"/>
    <n v="64"/>
    <n v="12.8"/>
    <x v="2"/>
    <x v="2"/>
    <x v="3"/>
  </r>
  <r>
    <s v="Nov"/>
    <n v="1011"/>
    <n v="8722"/>
    <s v="Water Pump"/>
    <n v="344"/>
    <n v="502"/>
    <n v="158"/>
    <n v="31.6"/>
    <x v="2"/>
    <x v="2"/>
    <x v="5"/>
  </r>
  <r>
    <s v="Oct"/>
    <n v="1013"/>
    <n v="2877"/>
    <s v="Net"/>
    <n v="11.4"/>
    <n v="16.3"/>
    <n v="4.9000000000000004"/>
    <n v="0.49000000000000005"/>
    <x v="1"/>
    <x v="1"/>
    <x v="4"/>
  </r>
  <r>
    <s v="Nov"/>
    <n v="1019"/>
    <n v="2877"/>
    <s v="Net"/>
    <n v="11.4"/>
    <n v="16.3"/>
    <n v="4.9000000000000004"/>
    <n v="0.49000000000000005"/>
    <x v="2"/>
    <x v="2"/>
    <x v="1"/>
  </r>
  <r>
    <s v="Dec"/>
    <n v="1002"/>
    <n v="2877"/>
    <s v="Net"/>
    <n v="11.4"/>
    <n v="16.3"/>
    <n v="4.9000000000000004"/>
    <n v="0.49000000000000005"/>
    <x v="2"/>
    <x v="2"/>
    <x v="3"/>
  </r>
  <r>
    <s v="Dec"/>
    <n v="1013"/>
    <n v="2877"/>
    <s v="Net"/>
    <n v="11.4"/>
    <n v="16.3"/>
    <n v="4.9000000000000004"/>
    <n v="0.49000000000000005"/>
    <x v="2"/>
    <x v="2"/>
    <x v="0"/>
  </r>
  <r>
    <s v="Jan"/>
    <n v="1001"/>
    <n v="2499"/>
    <s v="8 ft Hose"/>
    <n v="6.2"/>
    <n v="9.1999999999999993"/>
    <n v="2.9999999999999991"/>
    <n v="0.29999999999999993"/>
    <x v="3"/>
    <x v="3"/>
    <x v="2"/>
  </r>
  <r>
    <s v="Oct"/>
    <n v="1001"/>
    <n v="2877"/>
    <s v="Net"/>
    <n v="11.4"/>
    <n v="16.3"/>
    <n v="4.9000000000000004"/>
    <n v="0.49000000000000005"/>
    <x v="2"/>
    <x v="2"/>
    <x v="4"/>
  </r>
  <r>
    <s v="Oct"/>
    <n v="1020"/>
    <n v="2877"/>
    <s v="Net"/>
    <n v="11.4"/>
    <n v="16.3"/>
    <n v="4.9000000000000004"/>
    <n v="0.49000000000000005"/>
    <x v="2"/>
    <x v="2"/>
    <x v="4"/>
  </r>
  <r>
    <s v="Jan"/>
    <n v="1006"/>
    <n v="9822"/>
    <s v="Pool Cover"/>
    <n v="58.3"/>
    <n v="98.4"/>
    <n v="40.100000000000009"/>
    <n v="8.0200000000000014"/>
    <x v="3"/>
    <x v="3"/>
    <x v="3"/>
  </r>
  <r>
    <s v="Jan"/>
    <n v="1008"/>
    <n v="2499"/>
    <s v="8 ft Hose"/>
    <n v="6.2"/>
    <n v="9.1999999999999993"/>
    <n v="2.9999999999999991"/>
    <n v="0.29999999999999993"/>
    <x v="3"/>
    <x v="3"/>
    <x v="3"/>
  </r>
  <r>
    <s v="Jan"/>
    <n v="1013"/>
    <n v="2877"/>
    <s v="Net"/>
    <n v="11.4"/>
    <n v="16.3"/>
    <n v="4.9000000000000004"/>
    <n v="0.49000000000000005"/>
    <x v="3"/>
    <x v="3"/>
    <x v="1"/>
  </r>
  <r>
    <s v="Jan"/>
    <n v="1017"/>
    <n v="2242"/>
    <s v="AutoVac"/>
    <n v="60"/>
    <n v="124"/>
    <n v="64"/>
    <n v="12.8"/>
    <x v="3"/>
    <x v="3"/>
    <x v="2"/>
  </r>
  <r>
    <s v="Feb"/>
    <n v="1001"/>
    <n v="2877"/>
    <s v="Net"/>
    <n v="11.4"/>
    <n v="16.3"/>
    <n v="4.9000000000000004"/>
    <n v="0.49000000000000005"/>
    <x v="3"/>
    <x v="3"/>
    <x v="5"/>
  </r>
  <r>
    <s v="Feb"/>
    <n v="1004"/>
    <n v="1109"/>
    <s v="Chlorine Test Kit"/>
    <n v="3"/>
    <n v="8"/>
    <n v="5"/>
    <n v="0.5"/>
    <x v="3"/>
    <x v="3"/>
    <x v="1"/>
  </r>
  <r>
    <s v="Feb"/>
    <n v="1009"/>
    <n v="2242"/>
    <s v="AutoVac"/>
    <n v="60"/>
    <n v="124"/>
    <n v="64"/>
    <n v="12.8"/>
    <x v="3"/>
    <x v="3"/>
    <x v="5"/>
  </r>
  <r>
    <s v="Feb"/>
    <n v="1018"/>
    <n v="2499"/>
    <s v="8 ft Hose"/>
    <n v="6.2"/>
    <n v="9.1999999999999993"/>
    <n v="2.9999999999999991"/>
    <n v="0.29999999999999993"/>
    <x v="3"/>
    <x v="3"/>
    <x v="0"/>
  </r>
  <r>
    <s v="Mar"/>
    <n v="1005"/>
    <n v="9121"/>
    <s v="1 Gal Muratic Acid"/>
    <n v="4"/>
    <n v="7"/>
    <n v="3"/>
    <n v="0.30000000000000004"/>
    <x v="3"/>
    <x v="3"/>
    <x v="5"/>
  </r>
  <r>
    <s v="Mar"/>
    <n v="1007"/>
    <n v="2877"/>
    <s v="Net"/>
    <n v="11.4"/>
    <n v="16.3"/>
    <n v="4.9000000000000004"/>
    <n v="0.49000000000000005"/>
    <x v="3"/>
    <x v="3"/>
    <x v="5"/>
  </r>
  <r>
    <s v="Mar"/>
    <n v="1014"/>
    <n v="2499"/>
    <s v="8 ft Hose"/>
    <n v="6.2"/>
    <n v="9.1999999999999993"/>
    <n v="2.9999999999999991"/>
    <n v="0.29999999999999993"/>
    <x v="3"/>
    <x v="3"/>
    <x v="5"/>
  </r>
  <r>
    <s v="Apr"/>
    <n v="1001"/>
    <n v="8722"/>
    <s v="Water Pump"/>
    <n v="344"/>
    <n v="502"/>
    <n v="158"/>
    <n v="31.6"/>
    <x v="3"/>
    <x v="3"/>
    <x v="5"/>
  </r>
  <r>
    <s v="Apr"/>
    <n v="1003"/>
    <n v="9822"/>
    <s v="Pool Cover"/>
    <n v="58.3"/>
    <n v="98.4"/>
    <n v="40.100000000000009"/>
    <n v="8.0200000000000014"/>
    <x v="3"/>
    <x v="3"/>
    <x v="2"/>
  </r>
  <r>
    <s v="Apr"/>
    <n v="1005"/>
    <n v="2877"/>
    <s v="Net"/>
    <n v="11.4"/>
    <n v="16.3"/>
    <n v="4.9000000000000004"/>
    <n v="0.49000000000000005"/>
    <x v="3"/>
    <x v="3"/>
    <x v="5"/>
  </r>
  <r>
    <s v="Oct"/>
    <n v="1002"/>
    <n v="2499"/>
    <s v="8 ft Hose"/>
    <n v="6.2"/>
    <n v="9.1999999999999993"/>
    <n v="2.9999999999999991"/>
    <n v="0.29999999999999993"/>
    <x v="3"/>
    <x v="3"/>
    <x v="4"/>
  </r>
  <r>
    <s v="May"/>
    <n v="1001"/>
    <n v="1109"/>
    <s v="Chlorine Test Kit"/>
    <n v="3"/>
    <n v="8"/>
    <n v="5"/>
    <n v="0.5"/>
    <x v="0"/>
    <x v="0"/>
    <x v="4"/>
  </r>
  <r>
    <s v="May"/>
    <n v="1002"/>
    <n v="2242"/>
    <s v="AutoVac"/>
    <n v="60"/>
    <n v="124"/>
    <n v="64"/>
    <n v="12.8"/>
    <x v="3"/>
    <x v="3"/>
    <x v="2"/>
  </r>
  <r>
    <s v="May"/>
    <n v="1004"/>
    <n v="2499"/>
    <s v="8 ft Hose"/>
    <n v="6.2"/>
    <n v="9.1999999999999993"/>
    <n v="2.9999999999999991"/>
    <n v="0.29999999999999993"/>
    <x v="3"/>
    <x v="3"/>
    <x v="5"/>
  </r>
  <r>
    <s v="May"/>
    <n v="1006"/>
    <n v="9822"/>
    <s v="Pool Cover"/>
    <n v="58.3"/>
    <n v="98.4"/>
    <n v="40.100000000000009"/>
    <n v="8.0200000000000014"/>
    <x v="3"/>
    <x v="3"/>
    <x v="5"/>
  </r>
  <r>
    <s v="May"/>
    <n v="1012"/>
    <n v="9822"/>
    <s v="Pool Cover"/>
    <n v="58.3"/>
    <n v="98.4"/>
    <n v="40.100000000000009"/>
    <n v="8.0200000000000014"/>
    <x v="3"/>
    <x v="3"/>
    <x v="3"/>
  </r>
  <r>
    <s v="May"/>
    <n v="1014"/>
    <n v="4421"/>
    <s v="Skimmer"/>
    <n v="45"/>
    <n v="87"/>
    <n v="42"/>
    <n v="8.4"/>
    <x v="3"/>
    <x v="3"/>
    <x v="2"/>
  </r>
  <r>
    <s v="Aug"/>
    <n v="1019"/>
    <n v="1109"/>
    <s v="Chlorine Test Kit"/>
    <n v="3"/>
    <n v="8"/>
    <n v="5"/>
    <n v="0.5"/>
    <x v="0"/>
    <x v="0"/>
    <x v="4"/>
  </r>
  <r>
    <s v="May"/>
    <n v="1019"/>
    <n v="8722"/>
    <s v="Water Pump"/>
    <n v="344"/>
    <n v="502"/>
    <n v="158"/>
    <n v="31.6"/>
    <x v="3"/>
    <x v="3"/>
    <x v="0"/>
  </r>
  <r>
    <s v="Jun"/>
    <n v="1002"/>
    <n v="2877"/>
    <s v="Net"/>
    <n v="11.4"/>
    <n v="16.3"/>
    <n v="4.9000000000000004"/>
    <n v="0.49000000000000005"/>
    <x v="3"/>
    <x v="3"/>
    <x v="1"/>
  </r>
  <r>
    <s v="Jun"/>
    <n v="1004"/>
    <n v="2242"/>
    <s v="AutoVac"/>
    <n v="60"/>
    <n v="124"/>
    <n v="64"/>
    <n v="12.8"/>
    <x v="3"/>
    <x v="3"/>
    <x v="3"/>
  </r>
  <r>
    <s v="Jun"/>
    <n v="1005"/>
    <n v="4421"/>
    <s v="Skimmer"/>
    <n v="45"/>
    <n v="87"/>
    <n v="42"/>
    <n v="8.4"/>
    <x v="3"/>
    <x v="3"/>
    <x v="0"/>
  </r>
  <r>
    <s v="Jun"/>
    <n v="1010"/>
    <n v="8722"/>
    <s v="Water Pump"/>
    <n v="344"/>
    <n v="502"/>
    <n v="158"/>
    <n v="31.6"/>
    <x v="3"/>
    <x v="3"/>
    <x v="1"/>
  </r>
  <r>
    <s v="Jun"/>
    <n v="1019"/>
    <n v="1109"/>
    <s v="Chlorine Test Kit"/>
    <n v="3"/>
    <n v="8"/>
    <n v="5"/>
    <n v="0.5"/>
    <x v="2"/>
    <x v="2"/>
    <x v="4"/>
  </r>
  <r>
    <s v="Jun"/>
    <n v="1012"/>
    <n v="9822"/>
    <s v="Pool Cover"/>
    <n v="58.3"/>
    <n v="98.4"/>
    <n v="40.100000000000009"/>
    <n v="8.0200000000000014"/>
    <x v="3"/>
    <x v="3"/>
    <x v="2"/>
  </r>
  <r>
    <s v="Jun"/>
    <n v="1014"/>
    <n v="9822"/>
    <s v="Pool Cover"/>
    <n v="58.3"/>
    <n v="98.4"/>
    <n v="40.100000000000009"/>
    <n v="8.0200000000000014"/>
    <x v="3"/>
    <x v="3"/>
    <x v="1"/>
  </r>
  <r>
    <s v="Jul"/>
    <n v="1007"/>
    <n v="4421"/>
    <s v="Skimmer"/>
    <n v="45"/>
    <n v="87"/>
    <n v="42"/>
    <n v="8.4"/>
    <x v="3"/>
    <x v="3"/>
    <x v="3"/>
  </r>
  <r>
    <s v="Jul"/>
    <n v="1008"/>
    <n v="9121"/>
    <s v="1 Gal Muratic Acid"/>
    <n v="4"/>
    <n v="7"/>
    <n v="3"/>
    <n v="0.30000000000000004"/>
    <x v="3"/>
    <x v="3"/>
    <x v="5"/>
  </r>
  <r>
    <s v="Jul"/>
    <n v="1013"/>
    <n v="2242"/>
    <s v="AutoVac"/>
    <n v="60"/>
    <n v="124"/>
    <n v="64"/>
    <n v="12.8"/>
    <x v="3"/>
    <x v="3"/>
    <x v="1"/>
  </r>
  <r>
    <s v="Jul"/>
    <n v="1016"/>
    <n v="8722"/>
    <s v="Water Pump"/>
    <n v="344"/>
    <n v="502"/>
    <n v="158"/>
    <n v="31.6"/>
    <x v="3"/>
    <x v="3"/>
    <x v="2"/>
  </r>
  <r>
    <s v="Jul"/>
    <n v="1018"/>
    <n v="9121"/>
    <s v="1 Gal Muratic Acid"/>
    <n v="4"/>
    <n v="7"/>
    <n v="3"/>
    <n v="0.30000000000000004"/>
    <x v="3"/>
    <x v="3"/>
    <x v="3"/>
  </r>
  <r>
    <s v="Jul"/>
    <n v="1020"/>
    <n v="4421"/>
    <s v="Skimmer"/>
    <n v="45"/>
    <n v="87"/>
    <n v="42"/>
    <n v="8.4"/>
    <x v="3"/>
    <x v="3"/>
    <x v="3"/>
  </r>
  <r>
    <s v="Sep"/>
    <n v="1014"/>
    <n v="1109"/>
    <s v="Chlorine Test Kit"/>
    <n v="3"/>
    <n v="8"/>
    <n v="5"/>
    <n v="0.5"/>
    <x v="2"/>
    <x v="2"/>
    <x v="4"/>
  </r>
  <r>
    <s v="Aug"/>
    <n v="1002"/>
    <n v="9121"/>
    <s v="1 Gal Muratic Acid"/>
    <n v="4"/>
    <n v="7"/>
    <n v="3"/>
    <n v="0.30000000000000004"/>
    <x v="3"/>
    <x v="3"/>
    <x v="0"/>
  </r>
  <r>
    <s v="Aug"/>
    <n v="1014"/>
    <n v="2877"/>
    <s v="Net"/>
    <n v="11.4"/>
    <n v="16.3"/>
    <n v="4.9000000000000004"/>
    <n v="0.49000000000000005"/>
    <x v="3"/>
    <x v="3"/>
    <x v="1"/>
  </r>
  <r>
    <s v="Aug"/>
    <n v="1015"/>
    <n v="2499"/>
    <s v="8 ft Hose"/>
    <n v="6.2"/>
    <n v="9.1999999999999993"/>
    <n v="2.9999999999999991"/>
    <n v="0.29999999999999993"/>
    <x v="3"/>
    <x v="3"/>
    <x v="0"/>
  </r>
  <r>
    <s v="Aug"/>
    <n v="1016"/>
    <n v="9121"/>
    <s v="1 Gal Muratic Acid"/>
    <n v="4"/>
    <n v="7"/>
    <n v="3"/>
    <n v="0.30000000000000004"/>
    <x v="3"/>
    <x v="3"/>
    <x v="3"/>
  </r>
  <r>
    <s v="Aug"/>
    <n v="1018"/>
    <n v="1109"/>
    <s v="Chlorine Test Kit"/>
    <n v="3"/>
    <n v="8"/>
    <n v="5"/>
    <n v="0.5"/>
    <x v="3"/>
    <x v="3"/>
    <x v="0"/>
  </r>
  <r>
    <s v="Aug"/>
    <n v="1020"/>
    <n v="2499"/>
    <s v="8 ft Hose"/>
    <n v="6.2"/>
    <n v="9.1999999999999993"/>
    <n v="2.9999999999999991"/>
    <n v="0.29999999999999993"/>
    <x v="3"/>
    <x v="3"/>
    <x v="0"/>
  </r>
  <r>
    <s v="Sep"/>
    <n v="1005"/>
    <n v="2877"/>
    <s v="Net"/>
    <n v="11.4"/>
    <n v="16.3"/>
    <n v="4.9000000000000004"/>
    <n v="0.49000000000000005"/>
    <x v="3"/>
    <x v="3"/>
    <x v="3"/>
  </r>
  <r>
    <s v="Sep"/>
    <n v="1009"/>
    <n v="9121"/>
    <s v="1 Gal Muratic Acid"/>
    <n v="4"/>
    <n v="7"/>
    <n v="3"/>
    <n v="0.30000000000000004"/>
    <x v="3"/>
    <x v="3"/>
    <x v="2"/>
  </r>
  <r>
    <s v="Sep"/>
    <n v="1012"/>
    <n v="1109"/>
    <s v="Chlorine Test Kit"/>
    <n v="3"/>
    <n v="8"/>
    <n v="5"/>
    <n v="0.5"/>
    <x v="3"/>
    <x v="3"/>
    <x v="4"/>
  </r>
  <r>
    <s v="Nov"/>
    <n v="1014"/>
    <n v="1109"/>
    <s v="Chlorine Test Kit"/>
    <n v="3"/>
    <n v="8"/>
    <n v="5"/>
    <n v="0.5"/>
    <x v="3"/>
    <x v="3"/>
    <x v="4"/>
  </r>
  <r>
    <s v="Aug"/>
    <n v="1009"/>
    <n v="9121"/>
    <s v="1 Gal Muratic Acid"/>
    <n v="4"/>
    <n v="7"/>
    <n v="3"/>
    <n v="0.30000000000000004"/>
    <x v="1"/>
    <x v="1"/>
    <x v="4"/>
  </r>
  <r>
    <s v="Oct"/>
    <n v="1011"/>
    <n v="1109"/>
    <s v="Chlorine Test Kit"/>
    <n v="3"/>
    <n v="8"/>
    <n v="5"/>
    <n v="0.5"/>
    <x v="3"/>
    <x v="3"/>
    <x v="2"/>
  </r>
  <r>
    <s v="Oct"/>
    <n v="1016"/>
    <n v="8722"/>
    <s v="Water Pump"/>
    <n v="344"/>
    <n v="502"/>
    <n v="158"/>
    <n v="31.6"/>
    <x v="3"/>
    <x v="3"/>
    <x v="2"/>
  </r>
  <r>
    <s v="Oct"/>
    <n v="1017"/>
    <n v="2877"/>
    <s v="Net"/>
    <n v="11.4"/>
    <n v="16.3"/>
    <n v="4.9000000000000004"/>
    <n v="0.49000000000000005"/>
    <x v="3"/>
    <x v="3"/>
    <x v="0"/>
  </r>
  <r>
    <s v="Nov"/>
    <n v="1003"/>
    <n v="2499"/>
    <s v="8 ft Hose"/>
    <n v="6.2"/>
    <n v="9.1999999999999993"/>
    <n v="2.9999999999999991"/>
    <n v="0.29999999999999993"/>
    <x v="3"/>
    <x v="3"/>
    <x v="1"/>
  </r>
  <r>
    <s v="Nov"/>
    <n v="1005"/>
    <n v="2877"/>
    <s v="Net"/>
    <n v="11.4"/>
    <n v="16.3"/>
    <n v="4.9000000000000004"/>
    <n v="0.49000000000000005"/>
    <x v="3"/>
    <x v="3"/>
    <x v="2"/>
  </r>
  <r>
    <s v="Oct"/>
    <n v="1012"/>
    <n v="9121"/>
    <s v="1 Gal Muratic Acid"/>
    <n v="4"/>
    <n v="7"/>
    <n v="3"/>
    <n v="0.30000000000000004"/>
    <x v="2"/>
    <x v="2"/>
    <x v="4"/>
  </r>
  <r>
    <s v="Jan"/>
    <n v="1004"/>
    <n v="9121"/>
    <s v="1 Gal Muratic Acid"/>
    <n v="4"/>
    <n v="7"/>
    <n v="3"/>
    <n v="0.30000000000000004"/>
    <x v="3"/>
    <x v="3"/>
    <x v="4"/>
  </r>
  <r>
    <s v="Nov"/>
    <n v="1020"/>
    <n v="9822"/>
    <s v="Pool Cover"/>
    <n v="58.3"/>
    <n v="98.4"/>
    <n v="40.100000000000009"/>
    <n v="8.0200000000000014"/>
    <x v="3"/>
    <x v="3"/>
    <x v="2"/>
  </r>
  <r>
    <s v="Dec"/>
    <n v="1001"/>
    <n v="2877"/>
    <s v="Net"/>
    <n v="11.4"/>
    <n v="16.3"/>
    <n v="4.9000000000000004"/>
    <n v="0.49000000000000005"/>
    <x v="3"/>
    <x v="3"/>
    <x v="1"/>
  </r>
  <r>
    <s v="Dec"/>
    <n v="1006"/>
    <n v="2242"/>
    <s v="AutoVac"/>
    <n v="60"/>
    <n v="124"/>
    <n v="64"/>
    <n v="12.8"/>
    <x v="3"/>
    <x v="3"/>
    <x v="1"/>
  </r>
  <r>
    <s v="Dec"/>
    <n v="1007"/>
    <n v="9121"/>
    <s v="1 Gal Muratic Acid"/>
    <n v="4"/>
    <n v="7"/>
    <n v="3"/>
    <n v="0.30000000000000004"/>
    <x v="3"/>
    <x v="3"/>
    <x v="3"/>
  </r>
  <r>
    <s v="May"/>
    <n v="1017"/>
    <n v="9121"/>
    <s v="1 Gal Muratic Acid"/>
    <n v="4"/>
    <n v="7"/>
    <n v="3"/>
    <n v="0.30000000000000004"/>
    <x v="3"/>
    <x v="3"/>
    <x v="4"/>
  </r>
  <r>
    <s v="Dec"/>
    <n v="1012"/>
    <n v="1109"/>
    <s v="Chlorine Test Kit"/>
    <n v="3"/>
    <n v="8"/>
    <n v="5"/>
    <n v="0.5"/>
    <x v="3"/>
    <x v="3"/>
    <x v="1"/>
  </r>
  <r>
    <s v="Dec"/>
    <n v="1014"/>
    <n v="9121"/>
    <s v="1 Gal Muratic Acid"/>
    <n v="4"/>
    <n v="7"/>
    <n v="3"/>
    <n v="0.30000000000000004"/>
    <x v="3"/>
    <x v="3"/>
    <x v="1"/>
  </r>
  <r>
    <s v="Dec"/>
    <n v="1015"/>
    <n v="4421"/>
    <s v="Skimmer"/>
    <n v="45"/>
    <n v="87"/>
    <n v="42"/>
    <n v="8.4"/>
    <x v="3"/>
    <x v="3"/>
    <x v="0"/>
  </r>
  <r>
    <s v="Dec"/>
    <n v="1018"/>
    <n v="9822"/>
    <s v="Pool Cover"/>
    <n v="58.3"/>
    <n v="98.4"/>
    <n v="40.100000000000009"/>
    <n v="8.0200000000000014"/>
    <x v="3"/>
    <x v="3"/>
    <x v="1"/>
  </r>
  <r>
    <s v="Dec"/>
    <n v="1020"/>
    <n v="2499"/>
    <s v="8 ft Hose"/>
    <n v="6.2"/>
    <n v="9.1999999999999993"/>
    <n v="2.9999999999999991"/>
    <n v="0.29999999999999993"/>
    <x v="3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s v="FD"/>
    <s v="Ford"/>
    <s v="MTG"/>
    <s v="Mustang"/>
    <s v="06"/>
    <n v="8"/>
    <n v="40326.800000000003"/>
    <n v="5040.8500000000004"/>
    <s v="Black"/>
    <x v="0"/>
    <n v="50000"/>
    <s v="yes"/>
    <s v="FD06MTGBLA001"/>
  </r>
  <r>
    <x v="1"/>
    <s v="FD"/>
    <s v="Ford"/>
    <s v="MTG"/>
    <s v="Mustang"/>
    <s v="06"/>
    <n v="8"/>
    <n v="44974.8"/>
    <n v="5621.85"/>
    <s v="White"/>
    <x v="1"/>
    <n v="50000"/>
    <s v="yes"/>
    <s v="FD06MTGWHI002"/>
  </r>
  <r>
    <x v="2"/>
    <s v="FD"/>
    <s v="Ford"/>
    <s v="MTG"/>
    <s v="Mustang"/>
    <s v="08"/>
    <n v="6"/>
    <n v="44946.5"/>
    <n v="7491.083333333333"/>
    <s v="Green"/>
    <x v="2"/>
    <n v="50000"/>
    <s v="yes"/>
    <s v="FD08MTGGRE003"/>
  </r>
  <r>
    <x v="3"/>
    <s v="FD"/>
    <s v="Ford"/>
    <s v="MTG"/>
    <s v="Mustang"/>
    <s v="08"/>
    <n v="6"/>
    <n v="37558.800000000003"/>
    <n v="6259.8"/>
    <s v="Black"/>
    <x v="3"/>
    <n v="50000"/>
    <s v="yes"/>
    <s v="FD08MTGBLA004"/>
  </r>
  <r>
    <x v="4"/>
    <s v="FD"/>
    <s v="Ford"/>
    <s v="MTG"/>
    <s v="Mustang"/>
    <s v="08"/>
    <n v="6"/>
    <n v="36438.5"/>
    <n v="6073.083333333333"/>
    <s v="White"/>
    <x v="0"/>
    <n v="50000"/>
    <s v="yes"/>
    <s v="FD08MTGWHI005"/>
  </r>
  <r>
    <x v="5"/>
    <s v="FD"/>
    <s v="Ford"/>
    <s v="FCS"/>
    <s v="Focus"/>
    <s v="06"/>
    <n v="8"/>
    <n v="46311.4"/>
    <n v="5788.9250000000002"/>
    <s v="Green"/>
    <x v="4"/>
    <n v="75000"/>
    <s v="yes"/>
    <s v="FD06FCSGRE006"/>
  </r>
  <r>
    <x v="6"/>
    <s v="FD"/>
    <s v="Ford"/>
    <s v="FCS"/>
    <s v="Focus"/>
    <s v="06"/>
    <n v="8"/>
    <n v="52229.5"/>
    <n v="6528.6875"/>
    <s v="Green"/>
    <x v="2"/>
    <n v="75000"/>
    <s v="yes"/>
    <s v="FD06FCSGRE007"/>
  </r>
  <r>
    <x v="7"/>
    <s v="FD"/>
    <s v="Ford"/>
    <s v="FCS"/>
    <s v="Focus"/>
    <s v="09"/>
    <n v="5"/>
    <n v="35137"/>
    <n v="7027.4"/>
    <s v="Black"/>
    <x v="5"/>
    <n v="75000"/>
    <s v="yes"/>
    <s v="FD09FCSBLA008"/>
  </r>
  <r>
    <x v="8"/>
    <s v="FD"/>
    <s v="Ford"/>
    <s v="FCS"/>
    <s v="Focus"/>
    <s v="13"/>
    <n v="1"/>
    <n v="27637.1"/>
    <n v="27637.1"/>
    <s v="Black"/>
    <x v="0"/>
    <n v="75000"/>
    <s v="yes"/>
    <s v="FD13FCSBLA009"/>
  </r>
  <r>
    <x v="9"/>
    <s v="FD"/>
    <s v="Ford"/>
    <s v="FCS"/>
    <s v="Focus"/>
    <s v="13"/>
    <n v="1"/>
    <n v="27534.799999999999"/>
    <n v="27534.799999999999"/>
    <s v="White"/>
    <x v="6"/>
    <n v="75000"/>
    <s v="yes"/>
    <s v="FD13FCSWHI010"/>
  </r>
  <r>
    <x v="10"/>
    <s v="FD"/>
    <s v="Ford"/>
    <s v="FCS"/>
    <s v="Focus"/>
    <s v="12"/>
    <n v="2"/>
    <n v="19341.7"/>
    <n v="9670.85"/>
    <s v="White"/>
    <x v="7"/>
    <n v="75000"/>
    <s v="yes"/>
    <s v="FD12FCSWHI011"/>
  </r>
  <r>
    <x v="11"/>
    <s v="FD"/>
    <s v="Ford"/>
    <s v="FCS"/>
    <s v="Focus"/>
    <s v="13"/>
    <n v="1"/>
    <n v="22521.599999999999"/>
    <n v="22521.599999999999"/>
    <s v="Black"/>
    <x v="8"/>
    <n v="75000"/>
    <s v="yes"/>
    <s v="FD13FCSBLA012"/>
  </r>
  <r>
    <x v="12"/>
    <s v="FD"/>
    <s v="Ford"/>
    <s v="FCS"/>
    <s v="Focus"/>
    <s v="13"/>
    <n v="1"/>
    <n v="13682.9"/>
    <n v="13682.9"/>
    <s v="Black"/>
    <x v="9"/>
    <n v="75000"/>
    <s v="yes"/>
    <s v="FD13FCSBLA013"/>
  </r>
  <r>
    <x v="13"/>
    <s v="GM"/>
    <s v="General Motors"/>
    <s v="CMR"/>
    <s v="Camero"/>
    <s v="09"/>
    <n v="5"/>
    <n v="28464.799999999999"/>
    <n v="5692.96"/>
    <s v="White"/>
    <x v="10"/>
    <n v="100000"/>
    <s v="yes"/>
    <s v="GM09CMRWHI014"/>
  </r>
  <r>
    <x v="14"/>
    <s v="GM"/>
    <s v="General Motors"/>
    <s v="CMR"/>
    <s v="Camero"/>
    <s v="12"/>
    <n v="2"/>
    <n v="19421.099999999999"/>
    <n v="9710.5499999999993"/>
    <s v="Black"/>
    <x v="11"/>
    <n v="100000"/>
    <s v="yes"/>
    <s v="GM12CMRBLA015"/>
  </r>
  <r>
    <x v="15"/>
    <s v="GM"/>
    <s v="General Motors"/>
    <s v="CMR"/>
    <s v="Camero"/>
    <s v="14"/>
    <n v="0"/>
    <n v="14289.6"/>
    <n v="14289.6"/>
    <s v="White"/>
    <x v="12"/>
    <n v="100000"/>
    <s v="yes"/>
    <s v="GM14CMRWHI016"/>
  </r>
  <r>
    <x v="16"/>
    <s v="GM"/>
    <s v="General Motors"/>
    <s v="SLV"/>
    <s v="Silverado"/>
    <s v="10"/>
    <n v="4"/>
    <n v="31144.400000000001"/>
    <n v="7786.1"/>
    <s v="Black"/>
    <x v="13"/>
    <n v="100000"/>
    <s v="yes"/>
    <s v="GM10SLVBLA017"/>
  </r>
  <r>
    <x v="17"/>
    <s v="GM"/>
    <s v="General Motors"/>
    <s v="SLV"/>
    <s v="Silverado"/>
    <s v="98"/>
    <n v="26"/>
    <n v="83162.7"/>
    <n v="3198.5653846153846"/>
    <s v="Black"/>
    <x v="10"/>
    <n v="100000"/>
    <s v="yes"/>
    <s v="GM98SLVBLA018"/>
  </r>
  <r>
    <x v="18"/>
    <s v="GM"/>
    <s v="General Motors"/>
    <s v="SLV"/>
    <s v="Silverado"/>
    <s v="00"/>
    <n v="14"/>
    <n v="80685.8"/>
    <n v="5763.2714285714292"/>
    <s v="Blue"/>
    <x v="8"/>
    <n v="100000"/>
    <s v="yes"/>
    <s v="GM00SLVBLU019"/>
  </r>
  <r>
    <x v="19"/>
    <s v="TY"/>
    <s v="Toyota"/>
    <s v="CAM"/>
    <s v="Camrey"/>
    <s v="96"/>
    <n v="28"/>
    <n v="114660.6"/>
    <n v="4095.0214285714287"/>
    <s v="Green"/>
    <x v="14"/>
    <n v="100000"/>
    <s v="no"/>
    <s v="TY96CAMGRE020"/>
  </r>
  <r>
    <x v="20"/>
    <s v="TY"/>
    <s v="Toyota"/>
    <s v="CAM"/>
    <s v="Camrey"/>
    <s v="98"/>
    <n v="26"/>
    <n v="93382.6"/>
    <n v="3591.6384615384618"/>
    <s v="Black"/>
    <x v="15"/>
    <n v="100000"/>
    <s v="yes"/>
    <s v="TY98CAMBLA021"/>
  </r>
  <r>
    <x v="21"/>
    <s v="TY"/>
    <s v="Toyota"/>
    <s v="CAM"/>
    <s v="Camrey"/>
    <s v="00"/>
    <n v="14"/>
    <n v="85928"/>
    <n v="6137.7142857142853"/>
    <s v="Green"/>
    <x v="4"/>
    <n v="100000"/>
    <s v="yes"/>
    <s v="TY00CAMGRE022"/>
  </r>
  <r>
    <x v="22"/>
    <s v="TY"/>
    <s v="Toyota"/>
    <s v="CAM"/>
    <s v="Camrey"/>
    <s v="02"/>
    <n v="12"/>
    <n v="67829.100000000006"/>
    <n v="5652.4250000000002"/>
    <s v="Black"/>
    <x v="0"/>
    <n v="100000"/>
    <s v="yes"/>
    <s v="TY02CAMBLA023"/>
  </r>
  <r>
    <x v="23"/>
    <s v="TY"/>
    <s v="Toyota"/>
    <s v="CAM"/>
    <s v="Camrey"/>
    <s v="09"/>
    <n v="5"/>
    <n v="48114.2"/>
    <n v="9622.84"/>
    <s v="White"/>
    <x v="5"/>
    <n v="100000"/>
    <s v="yes"/>
    <s v="TY09CAMWHI024"/>
  </r>
  <r>
    <x v="24"/>
    <s v="TY"/>
    <s v="Toyota"/>
    <s v="COR"/>
    <s v="Corola"/>
    <s v="02"/>
    <n v="12"/>
    <n v="64467.4"/>
    <n v="5372.2833333333338"/>
    <s v="Red"/>
    <x v="16"/>
    <n v="100000"/>
    <s v="yes"/>
    <s v="TY02CORRED025"/>
  </r>
  <r>
    <x v="25"/>
    <s v="TY"/>
    <s v="Toyota"/>
    <s v="COR"/>
    <s v="Corola"/>
    <s v="03"/>
    <n v="11"/>
    <n v="73444.399999999994"/>
    <n v="6676.7636363636357"/>
    <s v="Black"/>
    <x v="16"/>
    <n v="100000"/>
    <s v="yes"/>
    <s v="TY03CORBLA026"/>
  </r>
  <r>
    <x v="26"/>
    <s v="TY"/>
    <s v="Toyota"/>
    <s v="COR"/>
    <s v="Corola"/>
    <s v="14"/>
    <n v="0"/>
    <n v="17556.3"/>
    <n v="17556.3"/>
    <s v="Blue"/>
    <x v="6"/>
    <n v="100000"/>
    <s v="yes"/>
    <s v="TY14CORBLU027"/>
  </r>
  <r>
    <x v="27"/>
    <s v="TY"/>
    <s v="Toyota"/>
    <s v="COR"/>
    <s v="Corola"/>
    <s v="12"/>
    <n v="2"/>
    <n v="29601.9"/>
    <n v="14800.95"/>
    <s v="Black"/>
    <x v="10"/>
    <n v="100000"/>
    <s v="yes"/>
    <s v="TY12CORBLA028"/>
  </r>
  <r>
    <x v="28"/>
    <s v="TY"/>
    <s v="Toyota"/>
    <s v="CAM"/>
    <s v="Camrey"/>
    <s v="12"/>
    <n v="2"/>
    <n v="22128.2"/>
    <n v="11064.1"/>
    <s v="Blue"/>
    <x v="14"/>
    <n v="100000"/>
    <s v="yes"/>
    <s v="TY12CAMBLU029"/>
  </r>
  <r>
    <x v="29"/>
    <s v="HO"/>
    <s v="Honda"/>
    <s v="CIV"/>
    <s v="Civic"/>
    <s v="99"/>
    <n v="25"/>
    <n v="82374"/>
    <n v="3294.96"/>
    <s v="White"/>
    <x v="9"/>
    <n v="75000"/>
    <s v="no"/>
    <s v="HO99CIVWHI030"/>
  </r>
  <r>
    <x v="30"/>
    <s v="HO"/>
    <s v="Honda"/>
    <s v="CIV"/>
    <s v="Civic"/>
    <s v="01"/>
    <n v="13"/>
    <n v="69891.899999999994"/>
    <n v="5376.2999999999993"/>
    <s v="Blue"/>
    <x v="3"/>
    <n v="75000"/>
    <s v="yes"/>
    <s v="HO01CIVBLU031"/>
  </r>
  <r>
    <x v="31"/>
    <s v="HO"/>
    <s v="Honda"/>
    <s v="CIV"/>
    <s v="Civic"/>
    <s v="10"/>
    <n v="4"/>
    <n v="22573"/>
    <n v="5643.25"/>
    <s v="Blue"/>
    <x v="12"/>
    <n v="75000"/>
    <s v="yes"/>
    <s v="HO10CIVBLU032"/>
  </r>
  <r>
    <x v="32"/>
    <s v="HO"/>
    <s v="Honda"/>
    <s v="CIV"/>
    <s v="Civic"/>
    <s v="10"/>
    <n v="4"/>
    <n v="33477.199999999997"/>
    <n v="8369.2999999999993"/>
    <s v="Black"/>
    <x v="15"/>
    <n v="75000"/>
    <s v="yes"/>
    <s v="HO10CIVBLA033"/>
  </r>
  <r>
    <x v="33"/>
    <s v="HO"/>
    <s v="Honda"/>
    <s v="CIV"/>
    <s v="Civic"/>
    <s v="11"/>
    <n v="3"/>
    <n v="30555.3"/>
    <n v="10185.1"/>
    <s v="Black"/>
    <x v="2"/>
    <n v="75000"/>
    <s v="yes"/>
    <s v="HO11CIVBLA034"/>
  </r>
  <r>
    <x v="34"/>
    <s v="HO"/>
    <s v="Honda"/>
    <s v="CIV"/>
    <s v="Civic"/>
    <s v="12"/>
    <n v="2"/>
    <n v="24513.200000000001"/>
    <n v="12256.6"/>
    <s v="Black"/>
    <x v="13"/>
    <n v="75000"/>
    <s v="yes"/>
    <s v="HO12CIVBLA035"/>
  </r>
  <r>
    <x v="35"/>
    <s v="HO"/>
    <s v="Honda"/>
    <s v="CIV"/>
    <s v="Civic"/>
    <s v="13"/>
    <n v="1"/>
    <n v="13867.6"/>
    <n v="13867.6"/>
    <s v="Black"/>
    <x v="14"/>
    <n v="75000"/>
    <s v="yes"/>
    <s v="HO13CIVBLA036"/>
  </r>
  <r>
    <x v="36"/>
    <s v="HO"/>
    <s v="Honda"/>
    <s v="ODY"/>
    <s v="Odyssey"/>
    <s v="05"/>
    <n v="9"/>
    <n v="60389.5"/>
    <n v="6709.9444444444443"/>
    <s v="White"/>
    <x v="5"/>
    <n v="100000"/>
    <s v="yes"/>
    <s v="HO05ODYWHI037"/>
  </r>
  <r>
    <x v="37"/>
    <s v="HO"/>
    <s v="Honda"/>
    <s v="ODY"/>
    <s v="Odyssey"/>
    <s v="07"/>
    <n v="7"/>
    <n v="50854.1"/>
    <n v="7264.8714285714286"/>
    <s v="Black"/>
    <x v="15"/>
    <n v="100000"/>
    <s v="yes"/>
    <s v="HO07ODYBLA038"/>
  </r>
  <r>
    <x v="38"/>
    <s v="HO"/>
    <s v="Honda"/>
    <s v="ODY"/>
    <s v="Odyssey"/>
    <s v="08"/>
    <n v="6"/>
    <n v="42504.6"/>
    <n v="7084.0999999999995"/>
    <s v="White"/>
    <x v="9"/>
    <n v="100000"/>
    <s v="yes"/>
    <s v="HO08ODYWHI039"/>
  </r>
  <r>
    <x v="39"/>
    <s v="HO"/>
    <s v="Honda"/>
    <s v="ODY"/>
    <s v="Odyssey"/>
    <s v="01"/>
    <n v="13"/>
    <n v="68658.899999999994"/>
    <n v="5281.4538461538459"/>
    <s v="Black"/>
    <x v="0"/>
    <n v="100000"/>
    <s v="yes"/>
    <s v="HO01ODYBLA040"/>
  </r>
  <r>
    <x v="40"/>
    <s v="HO"/>
    <s v="Honda"/>
    <s v="ODY"/>
    <s v="Odyssey"/>
    <s v="14"/>
    <n v="0"/>
    <n v="3708.1"/>
    <n v="3708.1"/>
    <s v="Black"/>
    <x v="1"/>
    <n v="100000"/>
    <s v="yes"/>
    <s v="HO14ODYBLA041"/>
  </r>
  <r>
    <x v="41"/>
    <s v="CR"/>
    <s v="Chrysler"/>
    <s v="PTC"/>
    <s v="PT Cruiser"/>
    <s v="04"/>
    <n v="10"/>
    <n v="64542"/>
    <n v="6454.2"/>
    <s v="Blue"/>
    <x v="0"/>
    <n v="75000"/>
    <s v="yes"/>
    <s v="CR04PTCBLU042"/>
  </r>
  <r>
    <x v="42"/>
    <s v="CR"/>
    <s v="Chrysler"/>
    <s v="PTC"/>
    <s v="PT Cruiser"/>
    <s v="07"/>
    <n v="7"/>
    <n v="42074.2"/>
    <n v="6010.5999999999995"/>
    <s v="Green"/>
    <x v="16"/>
    <n v="75000"/>
    <s v="yes"/>
    <s v="CR07PTCGRE043"/>
  </r>
  <r>
    <x v="43"/>
    <s v="CR"/>
    <s v="Chrysler"/>
    <s v="PTC"/>
    <s v="PT Cruiser"/>
    <s v="11"/>
    <n v="3"/>
    <n v="27394.2"/>
    <n v="9131.4"/>
    <s v="Black"/>
    <x v="8"/>
    <n v="75000"/>
    <s v="yes"/>
    <s v="CR11PTCBLA044"/>
  </r>
  <r>
    <x v="44"/>
    <s v="CR"/>
    <s v="Chrysler"/>
    <s v="CAR"/>
    <s v="Caravan"/>
    <s v="99"/>
    <n v="25"/>
    <n v="79420.600000000006"/>
    <n v="3176.8240000000001"/>
    <s v="Green"/>
    <x v="13"/>
    <n v="75000"/>
    <s v="no"/>
    <s v="CR99CARGRE045"/>
  </r>
  <r>
    <x v="45"/>
    <s v="CR"/>
    <s v="Chrysler"/>
    <s v="CAR"/>
    <s v="Caravan"/>
    <s v="00"/>
    <n v="14"/>
    <n v="77243.100000000006"/>
    <n v="5517.3642857142859"/>
    <s v="Black"/>
    <x v="3"/>
    <n v="75000"/>
    <s v="no"/>
    <s v="CR00CARBLA046"/>
  </r>
  <r>
    <x v="46"/>
    <s v="CR"/>
    <s v="Chrysler"/>
    <s v="CAR"/>
    <s v="Caravan"/>
    <s v="04"/>
    <n v="10"/>
    <n v="72527.199999999997"/>
    <n v="7252.7199999999993"/>
    <s v="White"/>
    <x v="11"/>
    <n v="75000"/>
    <s v="yes"/>
    <s v="CR04CARWHI047"/>
  </r>
  <r>
    <x v="47"/>
    <s v="CR"/>
    <s v="Chrysler"/>
    <s v="CAR"/>
    <s v="Caravan"/>
    <s v="04"/>
    <n v="10"/>
    <n v="52699.4"/>
    <n v="5269.9400000000005"/>
    <s v="Red"/>
    <x v="11"/>
    <n v="75000"/>
    <s v="yes"/>
    <s v="CR04CARRED048"/>
  </r>
  <r>
    <x v="48"/>
    <s v="HY"/>
    <s v="Hundai"/>
    <s v="ELA"/>
    <s v="Elantra"/>
    <s v="11"/>
    <n v="3"/>
    <n v="29102.3"/>
    <n v="9700.7666666666664"/>
    <s v="Black"/>
    <x v="12"/>
    <n v="100000"/>
    <s v="yes"/>
    <s v="HY11ELABLA049"/>
  </r>
  <r>
    <x v="49"/>
    <s v="HY"/>
    <s v="Hundai"/>
    <s v="ELA"/>
    <s v="Elantra"/>
    <s v="12"/>
    <n v="2"/>
    <n v="22282"/>
    <n v="11141"/>
    <s v="Blue"/>
    <x v="1"/>
    <n v="100000"/>
    <s v="yes"/>
    <s v="HY12ELABLU050"/>
  </r>
  <r>
    <x v="50"/>
    <s v="HY"/>
    <s v="Hundai"/>
    <s v="ELA"/>
    <s v="Elantra"/>
    <s v="13"/>
    <n v="1"/>
    <n v="20223.900000000001"/>
    <n v="20223.900000000001"/>
    <s v="Black"/>
    <x v="6"/>
    <n v="100000"/>
    <s v="yes"/>
    <s v="HY13ELABLA051"/>
  </r>
  <r>
    <x v="51"/>
    <s v="HY"/>
    <s v="Hundai"/>
    <s v="ELA"/>
    <s v="Elantra"/>
    <s v="13"/>
    <n v="1"/>
    <n v="22188.5"/>
    <n v="22188.5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89463B-BCE5-2C40-BCB4-927947D6ED76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B42" firstHeaderRow="1" firstDataRow="1" firstDataCol="1"/>
  <pivotFields count="11">
    <pivotField showAll="0"/>
    <pivotField showAll="0"/>
    <pivotField showAll="0"/>
    <pivotField showAll="0"/>
    <pivotField numFmtId="179" showAll="0"/>
    <pivotField numFmtId="179" showAll="0"/>
    <pivotField dataField="1" numFmtId="179" showAll="0"/>
    <pivotField numFmtId="179" showAll="0"/>
    <pivotField axis="axisRow" showAll="0">
      <items count="5">
        <item x="0"/>
        <item x="3"/>
        <item x="2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7">
        <item x="4"/>
        <item x="2"/>
        <item x="0"/>
        <item x="1"/>
        <item x="5"/>
        <item x="3"/>
        <item t="default"/>
      </items>
    </pivotField>
  </pivotFields>
  <rowFields count="2">
    <field x="8"/>
    <field x="10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Profit" fld="6" baseField="0" baseItem="0"/>
  </dataField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EDA6D5-498D-1D44-AFCE-F49149124336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8" firstHeaderRow="0" firstDataRow="1" firstDataCol="1"/>
  <pivotFields count="11">
    <pivotField showAll="0"/>
    <pivotField showAll="0"/>
    <pivotField showAll="0"/>
    <pivotField showAll="0"/>
    <pivotField numFmtId="179" showAll="0"/>
    <pivotField dataField="1" numFmtId="179" showAll="0"/>
    <pivotField dataField="1" numFmtId="179" showAll="0"/>
    <pivotField numFmtId="179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 Price" fld="5" baseField="0" baseItem="0"/>
    <dataField name="Sum of Profit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48AAF-CB0E-734C-AA44-A48428914B03}" name="PivotTable6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P10:Q2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 sortType="descending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0"/>
  </rowFields>
  <rowItems count="18">
    <i>
      <x v="12"/>
    </i>
    <i>
      <x v="6"/>
    </i>
    <i>
      <x v="3"/>
    </i>
    <i>
      <x v="13"/>
    </i>
    <i>
      <x v="2"/>
    </i>
    <i>
      <x v="1"/>
    </i>
    <i>
      <x/>
    </i>
    <i>
      <x v="4"/>
    </i>
    <i>
      <x v="11"/>
    </i>
    <i>
      <x v="10"/>
    </i>
    <i>
      <x v="5"/>
    </i>
    <i>
      <x v="15"/>
    </i>
    <i>
      <x v="7"/>
    </i>
    <i>
      <x v="8"/>
    </i>
    <i>
      <x v="14"/>
    </i>
    <i>
      <x v="9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ACF03-2DEA-824F-A4DF-CA2D953EB379}" name="PivotTable5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73" firstHeaderRow="1" firstDataRow="1" firstDataCol="2"/>
  <pivotFields count="14">
    <pivotField axis="axisRow" compact="0" outline="0" showAll="0">
      <items count="53">
        <item x="45"/>
        <item x="46"/>
        <item x="47"/>
        <item x="41"/>
        <item x="42"/>
        <item x="43"/>
        <item x="44"/>
        <item x="5"/>
        <item x="6"/>
        <item x="0"/>
        <item x="1"/>
        <item x="2"/>
        <item x="3"/>
        <item x="4"/>
        <item x="7"/>
        <item x="10"/>
        <item x="8"/>
        <item x="9"/>
        <item x="11"/>
        <item x="12"/>
        <item x="18"/>
        <item x="13"/>
        <item x="16"/>
        <item x="14"/>
        <item x="15"/>
        <item x="17"/>
        <item x="30"/>
        <item x="39"/>
        <item x="36"/>
        <item x="37"/>
        <item x="38"/>
        <item x="31"/>
        <item x="32"/>
        <item x="33"/>
        <item x="34"/>
        <item x="35"/>
        <item x="40"/>
        <item x="29"/>
        <item x="48"/>
        <item x="49"/>
        <item x="50"/>
        <item x="51"/>
        <item x="21"/>
        <item x="22"/>
        <item x="24"/>
        <item x="25"/>
        <item x="23"/>
        <item x="28"/>
        <item x="27"/>
        <item x="26"/>
        <item x="19"/>
        <item x="2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0"/>
    <field x="0"/>
  </rowFields>
  <rowItems count="70">
    <i>
      <x/>
      <x v="1"/>
    </i>
    <i r="1">
      <x v="2"/>
    </i>
    <i r="1">
      <x v="23"/>
    </i>
    <i t="default">
      <x/>
    </i>
    <i>
      <x v="1"/>
      <x v="35"/>
    </i>
    <i r="1">
      <x v="47"/>
    </i>
    <i r="1">
      <x v="50"/>
    </i>
    <i t="default">
      <x v="1"/>
    </i>
    <i>
      <x v="2"/>
      <x v="7"/>
    </i>
    <i r="1">
      <x v="41"/>
    </i>
    <i r="1">
      <x v="42"/>
    </i>
    <i t="default">
      <x v="2"/>
    </i>
    <i>
      <x v="3"/>
      <x v="4"/>
    </i>
    <i r="1">
      <x v="44"/>
    </i>
    <i r="1">
      <x v="45"/>
    </i>
    <i t="default">
      <x v="3"/>
    </i>
    <i>
      <x v="4"/>
      <x v="14"/>
    </i>
    <i r="1">
      <x v="28"/>
    </i>
    <i r="1">
      <x v="46"/>
    </i>
    <i t="default">
      <x v="4"/>
    </i>
    <i>
      <x v="5"/>
      <x v="6"/>
    </i>
    <i r="1">
      <x v="22"/>
    </i>
    <i r="1">
      <x v="34"/>
    </i>
    <i t="default">
      <x v="5"/>
    </i>
    <i>
      <x v="6"/>
      <x/>
    </i>
    <i r="1">
      <x v="12"/>
    </i>
    <i r="1">
      <x v="26"/>
    </i>
    <i t="default">
      <x v="6"/>
    </i>
    <i>
      <x v="7"/>
      <x v="8"/>
    </i>
    <i r="1">
      <x v="11"/>
    </i>
    <i r="1">
      <x v="33"/>
    </i>
    <i t="default">
      <x v="7"/>
    </i>
    <i>
      <x v="8"/>
      <x v="10"/>
    </i>
    <i r="1">
      <x v="36"/>
    </i>
    <i r="1">
      <x v="39"/>
    </i>
    <i t="default">
      <x v="8"/>
    </i>
    <i>
      <x v="9"/>
      <x v="17"/>
    </i>
    <i r="1">
      <x v="40"/>
    </i>
    <i r="1">
      <x v="49"/>
    </i>
    <i t="default">
      <x v="9"/>
    </i>
    <i>
      <x v="10"/>
      <x v="19"/>
    </i>
    <i r="1">
      <x v="30"/>
    </i>
    <i r="1">
      <x v="37"/>
    </i>
    <i t="default">
      <x v="10"/>
    </i>
    <i>
      <x v="11"/>
      <x v="21"/>
    </i>
    <i r="1">
      <x v="25"/>
    </i>
    <i r="1">
      <x v="48"/>
    </i>
    <i t="default">
      <x v="11"/>
    </i>
    <i>
      <x v="12"/>
      <x v="3"/>
    </i>
    <i r="1">
      <x v="9"/>
    </i>
    <i r="1">
      <x v="13"/>
    </i>
    <i r="1">
      <x v="16"/>
    </i>
    <i r="1">
      <x v="27"/>
    </i>
    <i r="1">
      <x v="43"/>
    </i>
    <i t="default">
      <x v="12"/>
    </i>
    <i>
      <x v="13"/>
      <x v="29"/>
    </i>
    <i r="1">
      <x v="32"/>
    </i>
    <i r="1">
      <x v="51"/>
    </i>
    <i t="default">
      <x v="13"/>
    </i>
    <i>
      <x v="14"/>
      <x v="24"/>
    </i>
    <i r="1">
      <x v="31"/>
    </i>
    <i r="1">
      <x v="38"/>
    </i>
    <i t="default">
      <x v="14"/>
    </i>
    <i>
      <x v="15"/>
      <x v="5"/>
    </i>
    <i r="1">
      <x v="18"/>
    </i>
    <i r="1">
      <x v="20"/>
    </i>
    <i t="default">
      <x v="15"/>
    </i>
    <i>
      <x v="16"/>
      <x v="15"/>
    </i>
    <i t="default"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9C23-E9D2-0740-A1AB-683F98F97ECF}">
  <dimension ref="A1:H25"/>
  <sheetViews>
    <sheetView workbookViewId="0">
      <selection activeCell="F22" sqref="F22:H25"/>
    </sheetView>
  </sheetViews>
  <sheetFormatPr baseColWidth="10" defaultRowHeight="16" x14ac:dyDescent="0.2"/>
  <cols>
    <col min="1" max="1" width="14.83203125" bestFit="1" customWidth="1"/>
    <col min="2" max="2" width="10" bestFit="1" customWidth="1"/>
    <col min="3" max="3" width="11.33203125" bestFit="1" customWidth="1"/>
    <col min="4" max="4" width="12.5" bestFit="1" customWidth="1"/>
    <col min="5" max="5" width="13.5" bestFit="1" customWidth="1"/>
    <col min="6" max="6" width="11.5" bestFit="1" customWidth="1"/>
    <col min="7" max="7" width="14" bestFit="1" customWidth="1"/>
    <col min="8" max="8" width="11.5" bestFit="1" customWidth="1"/>
  </cols>
  <sheetData>
    <row r="1" spans="1:8" x14ac:dyDescent="0.2">
      <c r="A1" t="s">
        <v>39</v>
      </c>
    </row>
    <row r="2" spans="1:8" x14ac:dyDescent="0.2">
      <c r="D2" t="s">
        <v>37</v>
      </c>
      <c r="E2" t="s">
        <v>44</v>
      </c>
      <c r="F2" t="s">
        <v>38</v>
      </c>
      <c r="G2" t="s">
        <v>45</v>
      </c>
      <c r="H2" t="s">
        <v>46</v>
      </c>
    </row>
    <row r="3" spans="1:8" x14ac:dyDescent="0.2">
      <c r="A3" t="s">
        <v>0</v>
      </c>
      <c r="B3" t="s">
        <v>1</v>
      </c>
      <c r="C3" t="s">
        <v>2</v>
      </c>
      <c r="D3" s="1">
        <v>36892</v>
      </c>
      <c r="E3" s="1"/>
    </row>
    <row r="4" spans="1:8" x14ac:dyDescent="0.2">
      <c r="A4" t="s">
        <v>3</v>
      </c>
      <c r="B4" t="s">
        <v>4</v>
      </c>
      <c r="C4" s="2">
        <v>15.9</v>
      </c>
      <c r="D4">
        <v>41</v>
      </c>
      <c r="E4">
        <f>IF(D4&gt;40,D4-40,0)</f>
        <v>1</v>
      </c>
      <c r="F4" s="2">
        <f>C4*D4</f>
        <v>651.9</v>
      </c>
      <c r="G4" s="2">
        <f>0.5*C4*E4</f>
        <v>7.95</v>
      </c>
      <c r="H4" s="2">
        <f>F4+G4</f>
        <v>659.85</v>
      </c>
    </row>
    <row r="5" spans="1:8" x14ac:dyDescent="0.2">
      <c r="A5" t="s">
        <v>5</v>
      </c>
      <c r="B5" t="s">
        <v>6</v>
      </c>
      <c r="C5" s="2">
        <v>10</v>
      </c>
      <c r="D5">
        <v>42</v>
      </c>
      <c r="E5">
        <f t="shared" ref="E5:E20" si="0">IF(D5&gt;40,D5-40,0)</f>
        <v>2</v>
      </c>
      <c r="F5" s="2">
        <f t="shared" ref="F5:F20" si="1">C5*D5</f>
        <v>420</v>
      </c>
      <c r="G5" s="2">
        <f t="shared" ref="G5:G20" si="2">0.5*C5*E5</f>
        <v>10</v>
      </c>
      <c r="H5" s="2">
        <f t="shared" ref="H5:H20" si="3">F5+G5</f>
        <v>430</v>
      </c>
    </row>
    <row r="6" spans="1:8" x14ac:dyDescent="0.2">
      <c r="A6" t="s">
        <v>7</v>
      </c>
      <c r="B6" t="s">
        <v>8</v>
      </c>
      <c r="C6" s="2">
        <v>22.1</v>
      </c>
      <c r="D6">
        <v>49</v>
      </c>
      <c r="E6">
        <f t="shared" si="0"/>
        <v>9</v>
      </c>
      <c r="F6" s="2">
        <f t="shared" si="1"/>
        <v>1082.9000000000001</v>
      </c>
      <c r="G6" s="2">
        <f t="shared" si="2"/>
        <v>99.45</v>
      </c>
      <c r="H6" s="2">
        <f t="shared" si="3"/>
        <v>1182.3500000000001</v>
      </c>
    </row>
    <row r="7" spans="1:8" x14ac:dyDescent="0.2">
      <c r="A7" t="s">
        <v>9</v>
      </c>
      <c r="B7" t="s">
        <v>10</v>
      </c>
      <c r="C7" s="2">
        <v>19.100000000000001</v>
      </c>
      <c r="D7">
        <v>41</v>
      </c>
      <c r="E7">
        <f t="shared" si="0"/>
        <v>1</v>
      </c>
      <c r="F7" s="2">
        <f t="shared" si="1"/>
        <v>783.1</v>
      </c>
      <c r="G7" s="2">
        <f t="shared" si="2"/>
        <v>9.5500000000000007</v>
      </c>
      <c r="H7" s="2">
        <f t="shared" si="3"/>
        <v>792.65</v>
      </c>
    </row>
    <row r="8" spans="1:8" x14ac:dyDescent="0.2">
      <c r="A8" t="s">
        <v>11</v>
      </c>
      <c r="B8" t="s">
        <v>12</v>
      </c>
      <c r="C8" s="2">
        <v>6.9</v>
      </c>
      <c r="D8">
        <v>39</v>
      </c>
      <c r="E8">
        <f t="shared" si="0"/>
        <v>0</v>
      </c>
      <c r="F8" s="2">
        <f t="shared" si="1"/>
        <v>269.10000000000002</v>
      </c>
      <c r="G8" s="2">
        <f t="shared" si="2"/>
        <v>0</v>
      </c>
      <c r="H8" s="2">
        <f t="shared" si="3"/>
        <v>269.10000000000002</v>
      </c>
    </row>
    <row r="9" spans="1:8" x14ac:dyDescent="0.2">
      <c r="A9" t="s">
        <v>13</v>
      </c>
      <c r="B9" t="s">
        <v>14</v>
      </c>
      <c r="C9" s="2">
        <v>14.2</v>
      </c>
      <c r="D9">
        <v>44</v>
      </c>
      <c r="E9">
        <f t="shared" si="0"/>
        <v>4</v>
      </c>
      <c r="F9" s="2">
        <f t="shared" si="1"/>
        <v>624.79999999999995</v>
      </c>
      <c r="G9" s="2">
        <f t="shared" si="2"/>
        <v>28.4</v>
      </c>
      <c r="H9" s="2">
        <f t="shared" si="3"/>
        <v>653.19999999999993</v>
      </c>
    </row>
    <row r="10" spans="1:8" x14ac:dyDescent="0.2">
      <c r="A10" t="s">
        <v>15</v>
      </c>
      <c r="B10" t="s">
        <v>16</v>
      </c>
      <c r="C10" s="2">
        <v>18</v>
      </c>
      <c r="D10">
        <v>55</v>
      </c>
      <c r="E10">
        <f t="shared" si="0"/>
        <v>15</v>
      </c>
      <c r="F10" s="2">
        <f t="shared" si="1"/>
        <v>990</v>
      </c>
      <c r="G10" s="2">
        <f t="shared" si="2"/>
        <v>135</v>
      </c>
      <c r="H10" s="2">
        <f t="shared" si="3"/>
        <v>1125</v>
      </c>
    </row>
    <row r="11" spans="1:8" x14ac:dyDescent="0.2">
      <c r="A11" t="s">
        <v>17</v>
      </c>
      <c r="B11" t="s">
        <v>18</v>
      </c>
      <c r="C11" s="2">
        <v>17.5</v>
      </c>
      <c r="D11">
        <v>33</v>
      </c>
      <c r="E11">
        <f t="shared" si="0"/>
        <v>0</v>
      </c>
      <c r="F11" s="2">
        <f t="shared" si="1"/>
        <v>577.5</v>
      </c>
      <c r="G11" s="2">
        <f t="shared" si="2"/>
        <v>0</v>
      </c>
      <c r="H11" s="2">
        <f t="shared" si="3"/>
        <v>577.5</v>
      </c>
    </row>
    <row r="12" spans="1:8" x14ac:dyDescent="0.2">
      <c r="A12" t="s">
        <v>19</v>
      </c>
      <c r="B12" t="s">
        <v>20</v>
      </c>
      <c r="C12" s="2">
        <v>14.7</v>
      </c>
      <c r="D12">
        <v>29</v>
      </c>
      <c r="E12">
        <f t="shared" si="0"/>
        <v>0</v>
      </c>
      <c r="F12" s="2">
        <f t="shared" si="1"/>
        <v>426.29999999999995</v>
      </c>
      <c r="G12" s="2">
        <f t="shared" si="2"/>
        <v>0</v>
      </c>
      <c r="H12" s="2">
        <f t="shared" si="3"/>
        <v>426.29999999999995</v>
      </c>
    </row>
    <row r="13" spans="1:8" x14ac:dyDescent="0.2">
      <c r="A13" t="s">
        <v>21</v>
      </c>
      <c r="B13" t="s">
        <v>22</v>
      </c>
      <c r="C13" s="2">
        <v>13.9</v>
      </c>
      <c r="D13">
        <v>40</v>
      </c>
      <c r="E13">
        <f t="shared" si="0"/>
        <v>0</v>
      </c>
      <c r="F13" s="2">
        <f t="shared" si="1"/>
        <v>556</v>
      </c>
      <c r="G13" s="2">
        <f t="shared" si="2"/>
        <v>0</v>
      </c>
      <c r="H13" s="2">
        <f t="shared" si="3"/>
        <v>556</v>
      </c>
    </row>
    <row r="14" spans="1:8" x14ac:dyDescent="0.2">
      <c r="A14" t="s">
        <v>23</v>
      </c>
      <c r="B14" t="s">
        <v>24</v>
      </c>
      <c r="C14" s="2">
        <v>11.2</v>
      </c>
      <c r="D14">
        <v>40</v>
      </c>
      <c r="E14">
        <f t="shared" si="0"/>
        <v>0</v>
      </c>
      <c r="F14" s="2">
        <f t="shared" si="1"/>
        <v>448</v>
      </c>
      <c r="G14" s="2">
        <f t="shared" si="2"/>
        <v>0</v>
      </c>
      <c r="H14" s="2">
        <f t="shared" si="3"/>
        <v>448</v>
      </c>
    </row>
    <row r="15" spans="1:8" x14ac:dyDescent="0.2">
      <c r="A15" t="s">
        <v>25</v>
      </c>
      <c r="B15" t="s">
        <v>26</v>
      </c>
      <c r="C15" s="2">
        <v>12.5</v>
      </c>
      <c r="D15">
        <v>40</v>
      </c>
      <c r="E15">
        <f t="shared" si="0"/>
        <v>0</v>
      </c>
      <c r="F15" s="2">
        <f t="shared" si="1"/>
        <v>500</v>
      </c>
      <c r="G15" s="2">
        <f t="shared" si="2"/>
        <v>0</v>
      </c>
      <c r="H15" s="2">
        <f t="shared" si="3"/>
        <v>500</v>
      </c>
    </row>
    <row r="16" spans="1:8" x14ac:dyDescent="0.2">
      <c r="A16" t="s">
        <v>27</v>
      </c>
      <c r="B16" t="s">
        <v>28</v>
      </c>
      <c r="C16" s="2">
        <v>8.5</v>
      </c>
      <c r="D16">
        <v>40</v>
      </c>
      <c r="E16">
        <f t="shared" si="0"/>
        <v>0</v>
      </c>
      <c r="F16" s="2">
        <f t="shared" si="1"/>
        <v>340</v>
      </c>
      <c r="G16" s="2">
        <f t="shared" si="2"/>
        <v>0</v>
      </c>
      <c r="H16" s="2">
        <f t="shared" si="3"/>
        <v>340</v>
      </c>
    </row>
    <row r="17" spans="1:8" x14ac:dyDescent="0.2">
      <c r="A17" t="s">
        <v>29</v>
      </c>
      <c r="B17" t="s">
        <v>30</v>
      </c>
      <c r="C17" s="2">
        <v>8.44</v>
      </c>
      <c r="D17">
        <v>40</v>
      </c>
      <c r="E17">
        <f t="shared" si="0"/>
        <v>0</v>
      </c>
      <c r="F17" s="2">
        <f t="shared" si="1"/>
        <v>337.59999999999997</v>
      </c>
      <c r="G17" s="2">
        <f t="shared" si="2"/>
        <v>0</v>
      </c>
      <c r="H17" s="2">
        <f t="shared" si="3"/>
        <v>337.59999999999997</v>
      </c>
    </row>
    <row r="18" spans="1:8" x14ac:dyDescent="0.2">
      <c r="A18" t="s">
        <v>31</v>
      </c>
      <c r="B18" t="s">
        <v>32</v>
      </c>
      <c r="C18" s="2">
        <v>15.85</v>
      </c>
      <c r="D18">
        <v>40</v>
      </c>
      <c r="E18">
        <f t="shared" si="0"/>
        <v>0</v>
      </c>
      <c r="F18" s="2">
        <f t="shared" si="1"/>
        <v>634</v>
      </c>
      <c r="G18" s="2">
        <f t="shared" si="2"/>
        <v>0</v>
      </c>
      <c r="H18" s="2">
        <f t="shared" si="3"/>
        <v>634</v>
      </c>
    </row>
    <row r="19" spans="1:8" x14ac:dyDescent="0.2">
      <c r="A19" t="s">
        <v>33</v>
      </c>
      <c r="B19" t="s">
        <v>34</v>
      </c>
      <c r="C19" s="2">
        <v>45</v>
      </c>
      <c r="D19">
        <v>41</v>
      </c>
      <c r="E19">
        <f t="shared" si="0"/>
        <v>1</v>
      </c>
      <c r="F19" s="2">
        <f t="shared" si="1"/>
        <v>1845</v>
      </c>
      <c r="G19" s="2">
        <f t="shared" si="2"/>
        <v>22.5</v>
      </c>
      <c r="H19" s="2">
        <f t="shared" si="3"/>
        <v>1867.5</v>
      </c>
    </row>
    <row r="20" spans="1:8" x14ac:dyDescent="0.2">
      <c r="A20" t="s">
        <v>35</v>
      </c>
      <c r="B20" t="s">
        <v>36</v>
      </c>
      <c r="C20" s="2">
        <v>30</v>
      </c>
      <c r="D20">
        <v>39</v>
      </c>
      <c r="E20">
        <f t="shared" si="0"/>
        <v>0</v>
      </c>
      <c r="F20" s="2">
        <f t="shared" si="1"/>
        <v>1170</v>
      </c>
      <c r="G20" s="2">
        <f t="shared" si="2"/>
        <v>0</v>
      </c>
      <c r="H20" s="2">
        <f t="shared" si="3"/>
        <v>1170</v>
      </c>
    </row>
    <row r="22" spans="1:8" x14ac:dyDescent="0.2">
      <c r="A22" t="s">
        <v>40</v>
      </c>
      <c r="C22" s="2">
        <f>MAX(C4:C20)</f>
        <v>45</v>
      </c>
      <c r="D22" s="5">
        <f>MAX(D4:D20)</f>
        <v>55</v>
      </c>
      <c r="E22" s="5"/>
      <c r="F22" s="2">
        <f>MAX(F4:F20)</f>
        <v>1845</v>
      </c>
      <c r="G22" s="2">
        <f t="shared" ref="G22:H22" si="4">MAX(G4:G20)</f>
        <v>135</v>
      </c>
      <c r="H22" s="2">
        <f t="shared" si="4"/>
        <v>1867.5</v>
      </c>
    </row>
    <row r="23" spans="1:8" x14ac:dyDescent="0.2">
      <c r="A23" t="s">
        <v>41</v>
      </c>
      <c r="C23" s="2">
        <f>MIN(C4:C20)</f>
        <v>6.9</v>
      </c>
      <c r="D23" s="5">
        <f>MIN(D4:D20)</f>
        <v>29</v>
      </c>
      <c r="E23" s="5"/>
      <c r="F23" s="2">
        <f>MIN(F4:F20)</f>
        <v>269.10000000000002</v>
      </c>
      <c r="G23" s="2">
        <f t="shared" ref="G23:H23" si="5">MIN(G4:G20)</f>
        <v>0</v>
      </c>
      <c r="H23" s="2">
        <f t="shared" si="5"/>
        <v>269.10000000000002</v>
      </c>
    </row>
    <row r="24" spans="1:8" x14ac:dyDescent="0.2">
      <c r="A24" t="s">
        <v>42</v>
      </c>
      <c r="C24" s="2">
        <f>AVERAGE(C4:C20)</f>
        <v>16.693529411764704</v>
      </c>
      <c r="D24" s="5">
        <f>AVERAGE(D4:D20)</f>
        <v>40.764705882352942</v>
      </c>
      <c r="E24" s="5"/>
      <c r="F24" s="2">
        <f>AVERAGE(F4:F20)</f>
        <v>685.65882352941185</v>
      </c>
      <c r="G24" s="2">
        <f t="shared" ref="G24:H24" si="6">AVERAGE(G4:G20)</f>
        <v>18.402941176470591</v>
      </c>
      <c r="H24" s="2">
        <f t="shared" si="6"/>
        <v>704.0617647058823</v>
      </c>
    </row>
    <row r="25" spans="1:8" x14ac:dyDescent="0.2">
      <c r="A25" t="s">
        <v>43</v>
      </c>
      <c r="C25" s="2"/>
      <c r="D25" s="3">
        <f>SUM(D4:D20)</f>
        <v>693</v>
      </c>
      <c r="E25" s="3"/>
      <c r="F25" s="2">
        <f t="shared" ref="F25:H25" si="7">SUM(F4:F20)</f>
        <v>11656.2</v>
      </c>
      <c r="G25" s="2">
        <f t="shared" si="7"/>
        <v>312.85000000000002</v>
      </c>
      <c r="H25" s="2">
        <f t="shared" si="7"/>
        <v>11969.05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F483-E18C-0143-9B84-BA2009FBBAD3}">
  <sheetPr>
    <pageSetUpPr fitToPage="1"/>
  </sheetPr>
  <dimension ref="A2:AH28"/>
  <sheetViews>
    <sheetView topLeftCell="A2" workbookViewId="0">
      <selection activeCell="AJ31" sqref="AJ31"/>
    </sheetView>
  </sheetViews>
  <sheetFormatPr baseColWidth="10" defaultRowHeight="16" x14ac:dyDescent="0.2"/>
  <sheetData>
    <row r="2" spans="1:30" x14ac:dyDescent="0.2">
      <c r="D2" s="16" t="s">
        <v>37</v>
      </c>
      <c r="E2" s="16"/>
      <c r="F2" s="16"/>
      <c r="G2" s="16"/>
      <c r="H2" s="16"/>
      <c r="I2" s="16" t="s">
        <v>85</v>
      </c>
      <c r="J2" s="16"/>
      <c r="K2" s="16"/>
      <c r="L2" s="16"/>
      <c r="M2" s="16"/>
      <c r="N2" s="16" t="s">
        <v>38</v>
      </c>
      <c r="O2" s="16"/>
      <c r="P2" s="16"/>
      <c r="Q2" s="16"/>
      <c r="R2" s="16"/>
      <c r="S2" s="16" t="s">
        <v>47</v>
      </c>
      <c r="T2" s="16"/>
      <c r="U2" s="16"/>
      <c r="V2" s="16"/>
      <c r="W2" s="16"/>
      <c r="X2" s="16" t="s">
        <v>48</v>
      </c>
      <c r="Y2" s="16"/>
      <c r="Z2" s="16"/>
      <c r="AA2" s="16"/>
      <c r="AB2" s="16"/>
      <c r="AD2" t="s">
        <v>87</v>
      </c>
    </row>
    <row r="3" spans="1:30" x14ac:dyDescent="0.2">
      <c r="A3" s="17" t="s">
        <v>0</v>
      </c>
      <c r="B3" s="17" t="s">
        <v>1</v>
      </c>
      <c r="C3" s="17" t="s">
        <v>2</v>
      </c>
      <c r="D3" s="8">
        <v>41640</v>
      </c>
      <c r="E3" s="8">
        <f>D3+7</f>
        <v>41647</v>
      </c>
      <c r="F3" s="8">
        <f t="shared" ref="F3:H3" si="0">E3+7</f>
        <v>41654</v>
      </c>
      <c r="G3" s="8">
        <f t="shared" si="0"/>
        <v>41661</v>
      </c>
      <c r="H3" s="8">
        <f t="shared" si="0"/>
        <v>41668</v>
      </c>
      <c r="I3" s="6">
        <v>41640</v>
      </c>
      <c r="J3" s="6">
        <v>41647</v>
      </c>
      <c r="K3" s="6">
        <v>41654</v>
      </c>
      <c r="L3" s="6">
        <v>41661</v>
      </c>
      <c r="M3" s="6">
        <v>41668</v>
      </c>
      <c r="N3" s="10">
        <v>41640</v>
      </c>
      <c r="O3" s="10">
        <v>41647</v>
      </c>
      <c r="P3" s="10">
        <v>41654</v>
      </c>
      <c r="Q3" s="10">
        <v>41661</v>
      </c>
      <c r="R3" s="10">
        <v>41668</v>
      </c>
      <c r="S3" s="12">
        <v>41640</v>
      </c>
      <c r="T3" s="12">
        <v>41647</v>
      </c>
      <c r="U3" s="12">
        <v>41654</v>
      </c>
      <c r="V3" s="12">
        <v>41661</v>
      </c>
      <c r="W3" s="12">
        <v>41668</v>
      </c>
      <c r="X3" s="14">
        <v>41640</v>
      </c>
      <c r="Y3" s="14">
        <v>41647</v>
      </c>
      <c r="Z3" s="14">
        <v>41654</v>
      </c>
      <c r="AA3" s="14">
        <v>41661</v>
      </c>
      <c r="AB3" s="14">
        <v>41668</v>
      </c>
    </row>
    <row r="4" spans="1:30" x14ac:dyDescent="0.2">
      <c r="A4" s="18" t="s">
        <v>11</v>
      </c>
      <c r="B4" s="18" t="s">
        <v>49</v>
      </c>
      <c r="C4" s="18">
        <v>15.75</v>
      </c>
      <c r="D4" s="9">
        <v>40</v>
      </c>
      <c r="E4" s="9">
        <v>35</v>
      </c>
      <c r="F4" s="9">
        <v>38</v>
      </c>
      <c r="G4" s="9">
        <v>38</v>
      </c>
      <c r="H4" s="9">
        <v>42</v>
      </c>
      <c r="I4" s="7">
        <f>IF(D4&gt;40,D4-40,0)</f>
        <v>0</v>
      </c>
      <c r="J4" s="7">
        <f>IF(E4&gt;40,E4-40,0)</f>
        <v>0</v>
      </c>
      <c r="K4" s="7">
        <f t="shared" ref="K4:M19" si="1">IF(F4&gt;40,F4-40,0)</f>
        <v>0</v>
      </c>
      <c r="L4" s="7">
        <f t="shared" si="1"/>
        <v>0</v>
      </c>
      <c r="M4" s="7">
        <f t="shared" si="1"/>
        <v>2</v>
      </c>
      <c r="N4" s="11">
        <f>$C4*D4</f>
        <v>630</v>
      </c>
      <c r="O4" s="11">
        <f t="shared" ref="O4:R19" si="2">$C4*E4</f>
        <v>551.25</v>
      </c>
      <c r="P4" s="11">
        <f t="shared" si="2"/>
        <v>598.5</v>
      </c>
      <c r="Q4" s="11">
        <f t="shared" si="2"/>
        <v>598.5</v>
      </c>
      <c r="R4" s="11">
        <f t="shared" si="2"/>
        <v>661.5</v>
      </c>
      <c r="S4" s="13">
        <f>0.5*$C4*I4</f>
        <v>0</v>
      </c>
      <c r="T4" s="13">
        <f t="shared" ref="T4:W19" si="3">0.5*$C4*J4</f>
        <v>0</v>
      </c>
      <c r="U4" s="13">
        <f t="shared" si="3"/>
        <v>0</v>
      </c>
      <c r="V4" s="13">
        <f t="shared" si="3"/>
        <v>0</v>
      </c>
      <c r="W4" s="13">
        <f t="shared" si="3"/>
        <v>15.75</v>
      </c>
      <c r="X4" s="15">
        <f>N4+S4</f>
        <v>630</v>
      </c>
      <c r="Y4" s="15">
        <f t="shared" ref="Y4:AB19" si="4">O4+T4</f>
        <v>551.25</v>
      </c>
      <c r="Z4" s="15">
        <f t="shared" si="4"/>
        <v>598.5</v>
      </c>
      <c r="AA4" s="15">
        <f t="shared" si="4"/>
        <v>598.5</v>
      </c>
      <c r="AB4" s="15">
        <f t="shared" si="4"/>
        <v>677.25</v>
      </c>
      <c r="AD4" s="15">
        <f>SUM(X4:AB4)</f>
        <v>3055.5</v>
      </c>
    </row>
    <row r="5" spans="1:30" x14ac:dyDescent="0.2">
      <c r="A5" s="18" t="s">
        <v>50</v>
      </c>
      <c r="B5" s="18" t="s">
        <v>51</v>
      </c>
      <c r="C5" s="18">
        <v>12.5</v>
      </c>
      <c r="D5" s="9">
        <v>44</v>
      </c>
      <c r="E5" s="9">
        <v>38</v>
      </c>
      <c r="F5" s="9">
        <v>40</v>
      </c>
      <c r="G5" s="9">
        <v>37</v>
      </c>
      <c r="H5" s="9">
        <v>39</v>
      </c>
      <c r="I5" s="7">
        <f t="shared" ref="I5:J23" si="5">IF(D5&gt;40,D5-40,0)</f>
        <v>4</v>
      </c>
      <c r="J5" s="7">
        <f t="shared" si="5"/>
        <v>0</v>
      </c>
      <c r="K5" s="7">
        <f t="shared" si="1"/>
        <v>0</v>
      </c>
      <c r="L5" s="7">
        <f t="shared" si="1"/>
        <v>0</v>
      </c>
      <c r="M5" s="7">
        <f t="shared" si="1"/>
        <v>0</v>
      </c>
      <c r="N5" s="11">
        <f t="shared" ref="N5:N23" si="6">$C5*D5</f>
        <v>550</v>
      </c>
      <c r="O5" s="11">
        <f t="shared" si="2"/>
        <v>475</v>
      </c>
      <c r="P5" s="11">
        <f t="shared" si="2"/>
        <v>500</v>
      </c>
      <c r="Q5" s="11">
        <f t="shared" si="2"/>
        <v>462.5</v>
      </c>
      <c r="R5" s="11">
        <f t="shared" si="2"/>
        <v>487.5</v>
      </c>
      <c r="S5" s="13">
        <f t="shared" ref="S5:S23" si="7">0.5*$C5*I5</f>
        <v>25</v>
      </c>
      <c r="T5" s="13">
        <f t="shared" si="3"/>
        <v>0</v>
      </c>
      <c r="U5" s="13">
        <f t="shared" si="3"/>
        <v>0</v>
      </c>
      <c r="V5" s="13">
        <f t="shared" si="3"/>
        <v>0</v>
      </c>
      <c r="W5" s="13">
        <f t="shared" si="3"/>
        <v>0</v>
      </c>
      <c r="X5" s="15">
        <f t="shared" ref="X5:X23" si="8">N5+S5</f>
        <v>575</v>
      </c>
      <c r="Y5" s="15">
        <f t="shared" si="4"/>
        <v>475</v>
      </c>
      <c r="Z5" s="15">
        <f t="shared" si="4"/>
        <v>500</v>
      </c>
      <c r="AA5" s="15">
        <f t="shared" si="4"/>
        <v>462.5</v>
      </c>
      <c r="AB5" s="15">
        <f t="shared" si="4"/>
        <v>487.5</v>
      </c>
      <c r="AD5" s="15">
        <f t="shared" ref="AD5:AD23" si="9">SUM(X5:AB5)</f>
        <v>2500</v>
      </c>
    </row>
    <row r="6" spans="1:30" x14ac:dyDescent="0.2">
      <c r="A6" s="18" t="s">
        <v>52</v>
      </c>
      <c r="B6" s="18" t="s">
        <v>53</v>
      </c>
      <c r="C6" s="18">
        <v>20.100000000000001</v>
      </c>
      <c r="D6" s="9">
        <v>42</v>
      </c>
      <c r="E6" s="9">
        <v>41</v>
      </c>
      <c r="F6" s="9">
        <v>43</v>
      </c>
      <c r="G6" s="9">
        <v>43</v>
      </c>
      <c r="H6" s="9">
        <v>45</v>
      </c>
      <c r="I6" s="7">
        <f t="shared" si="5"/>
        <v>2</v>
      </c>
      <c r="J6" s="7">
        <f t="shared" si="5"/>
        <v>1</v>
      </c>
      <c r="K6" s="7">
        <f t="shared" si="1"/>
        <v>3</v>
      </c>
      <c r="L6" s="7">
        <f t="shared" si="1"/>
        <v>3</v>
      </c>
      <c r="M6" s="7">
        <f t="shared" si="1"/>
        <v>5</v>
      </c>
      <c r="N6" s="11">
        <f t="shared" si="6"/>
        <v>844.2</v>
      </c>
      <c r="O6" s="11">
        <f t="shared" si="2"/>
        <v>824.1</v>
      </c>
      <c r="P6" s="11">
        <f t="shared" si="2"/>
        <v>864.30000000000007</v>
      </c>
      <c r="Q6" s="11">
        <f t="shared" si="2"/>
        <v>864.30000000000007</v>
      </c>
      <c r="R6" s="11">
        <f t="shared" si="2"/>
        <v>904.50000000000011</v>
      </c>
      <c r="S6" s="13">
        <f t="shared" si="7"/>
        <v>20.100000000000001</v>
      </c>
      <c r="T6" s="13">
        <f t="shared" si="3"/>
        <v>10.050000000000001</v>
      </c>
      <c r="U6" s="13">
        <f t="shared" si="3"/>
        <v>30.150000000000002</v>
      </c>
      <c r="V6" s="13">
        <f t="shared" si="3"/>
        <v>30.150000000000002</v>
      </c>
      <c r="W6" s="13">
        <f t="shared" si="3"/>
        <v>50.25</v>
      </c>
      <c r="X6" s="15">
        <f t="shared" si="8"/>
        <v>864.30000000000007</v>
      </c>
      <c r="Y6" s="15">
        <f t="shared" si="4"/>
        <v>834.15</v>
      </c>
      <c r="Z6" s="15">
        <f t="shared" si="4"/>
        <v>894.45</v>
      </c>
      <c r="AA6" s="15">
        <f t="shared" si="4"/>
        <v>894.45</v>
      </c>
      <c r="AB6" s="15">
        <f t="shared" si="4"/>
        <v>954.75000000000011</v>
      </c>
      <c r="AD6" s="15">
        <f t="shared" si="9"/>
        <v>4442.1000000000004</v>
      </c>
    </row>
    <row r="7" spans="1:30" x14ac:dyDescent="0.2">
      <c r="A7" s="18" t="s">
        <v>54</v>
      </c>
      <c r="B7" s="18" t="s">
        <v>55</v>
      </c>
      <c r="C7" s="18">
        <v>18.25</v>
      </c>
      <c r="D7" s="9">
        <v>36</v>
      </c>
      <c r="E7" s="9">
        <v>41</v>
      </c>
      <c r="F7" s="9">
        <v>42</v>
      </c>
      <c r="G7" s="9">
        <v>42</v>
      </c>
      <c r="H7" s="9">
        <v>43</v>
      </c>
      <c r="I7" s="7">
        <f t="shared" si="5"/>
        <v>0</v>
      </c>
      <c r="J7" s="7">
        <f t="shared" si="5"/>
        <v>1</v>
      </c>
      <c r="K7" s="7">
        <f t="shared" si="1"/>
        <v>2</v>
      </c>
      <c r="L7" s="7">
        <f t="shared" si="1"/>
        <v>2</v>
      </c>
      <c r="M7" s="7">
        <f t="shared" si="1"/>
        <v>3</v>
      </c>
      <c r="N7" s="11">
        <f t="shared" si="6"/>
        <v>657</v>
      </c>
      <c r="O7" s="11">
        <f t="shared" si="2"/>
        <v>748.25</v>
      </c>
      <c r="P7" s="11">
        <f t="shared" si="2"/>
        <v>766.5</v>
      </c>
      <c r="Q7" s="11">
        <f t="shared" si="2"/>
        <v>766.5</v>
      </c>
      <c r="R7" s="11">
        <f t="shared" si="2"/>
        <v>784.75</v>
      </c>
      <c r="S7" s="13">
        <f t="shared" si="7"/>
        <v>0</v>
      </c>
      <c r="T7" s="13">
        <f t="shared" si="3"/>
        <v>9.125</v>
      </c>
      <c r="U7" s="13">
        <f t="shared" si="3"/>
        <v>18.25</v>
      </c>
      <c r="V7" s="13">
        <f t="shared" si="3"/>
        <v>18.25</v>
      </c>
      <c r="W7" s="13">
        <f t="shared" si="3"/>
        <v>27.375</v>
      </c>
      <c r="X7" s="15">
        <f t="shared" si="8"/>
        <v>657</v>
      </c>
      <c r="Y7" s="15">
        <f t="shared" si="4"/>
        <v>757.375</v>
      </c>
      <c r="Z7" s="15">
        <f t="shared" si="4"/>
        <v>784.75</v>
      </c>
      <c r="AA7" s="15">
        <f t="shared" si="4"/>
        <v>784.75</v>
      </c>
      <c r="AB7" s="15">
        <f t="shared" si="4"/>
        <v>812.125</v>
      </c>
      <c r="AD7" s="15">
        <f t="shared" si="9"/>
        <v>3796</v>
      </c>
    </row>
    <row r="8" spans="1:30" x14ac:dyDescent="0.2">
      <c r="A8" s="18" t="s">
        <v>56</v>
      </c>
      <c r="B8" s="18" t="s">
        <v>57</v>
      </c>
      <c r="C8" s="18">
        <v>22.5</v>
      </c>
      <c r="D8" s="9">
        <v>36</v>
      </c>
      <c r="E8" s="9">
        <v>40</v>
      </c>
      <c r="F8" s="9">
        <v>44</v>
      </c>
      <c r="G8" s="9">
        <v>43</v>
      </c>
      <c r="H8" s="9">
        <v>44</v>
      </c>
      <c r="I8" s="7">
        <f t="shared" si="5"/>
        <v>0</v>
      </c>
      <c r="J8" s="7">
        <f t="shared" si="5"/>
        <v>0</v>
      </c>
      <c r="K8" s="7">
        <f t="shared" si="1"/>
        <v>4</v>
      </c>
      <c r="L8" s="7">
        <f t="shared" si="1"/>
        <v>3</v>
      </c>
      <c r="M8" s="7">
        <f t="shared" si="1"/>
        <v>4</v>
      </c>
      <c r="N8" s="11">
        <f t="shared" si="6"/>
        <v>810</v>
      </c>
      <c r="O8" s="11">
        <f t="shared" si="2"/>
        <v>900</v>
      </c>
      <c r="P8" s="11">
        <f t="shared" si="2"/>
        <v>990</v>
      </c>
      <c r="Q8" s="11">
        <f t="shared" si="2"/>
        <v>967.5</v>
      </c>
      <c r="R8" s="11">
        <f t="shared" si="2"/>
        <v>990</v>
      </c>
      <c r="S8" s="13">
        <f t="shared" si="7"/>
        <v>0</v>
      </c>
      <c r="T8" s="13">
        <f t="shared" si="3"/>
        <v>0</v>
      </c>
      <c r="U8" s="13">
        <f t="shared" si="3"/>
        <v>45</v>
      </c>
      <c r="V8" s="13">
        <f t="shared" si="3"/>
        <v>33.75</v>
      </c>
      <c r="W8" s="13">
        <f t="shared" si="3"/>
        <v>45</v>
      </c>
      <c r="X8" s="15">
        <f t="shared" si="8"/>
        <v>810</v>
      </c>
      <c r="Y8" s="15">
        <f t="shared" si="4"/>
        <v>900</v>
      </c>
      <c r="Z8" s="15">
        <f t="shared" si="4"/>
        <v>1035</v>
      </c>
      <c r="AA8" s="15">
        <f t="shared" si="4"/>
        <v>1001.25</v>
      </c>
      <c r="AB8" s="15">
        <f t="shared" si="4"/>
        <v>1035</v>
      </c>
      <c r="AD8" s="15">
        <f t="shared" si="9"/>
        <v>4781.25</v>
      </c>
    </row>
    <row r="9" spans="1:30" x14ac:dyDescent="0.2">
      <c r="A9" s="18" t="s">
        <v>58</v>
      </c>
      <c r="B9" s="18" t="s">
        <v>59</v>
      </c>
      <c r="C9" s="18">
        <v>13.75</v>
      </c>
      <c r="D9" s="9">
        <v>39</v>
      </c>
      <c r="E9" s="9">
        <v>38</v>
      </c>
      <c r="F9" s="9">
        <v>35</v>
      </c>
      <c r="G9" s="9">
        <v>38</v>
      </c>
      <c r="H9" s="9">
        <v>40</v>
      </c>
      <c r="I9" s="7">
        <f t="shared" si="5"/>
        <v>0</v>
      </c>
      <c r="J9" s="7">
        <f t="shared" si="5"/>
        <v>0</v>
      </c>
      <c r="K9" s="7">
        <f t="shared" si="1"/>
        <v>0</v>
      </c>
      <c r="L9" s="7">
        <f t="shared" si="1"/>
        <v>0</v>
      </c>
      <c r="M9" s="7">
        <f t="shared" si="1"/>
        <v>0</v>
      </c>
      <c r="N9" s="11">
        <f t="shared" si="6"/>
        <v>536.25</v>
      </c>
      <c r="O9" s="11">
        <f t="shared" si="2"/>
        <v>522.5</v>
      </c>
      <c r="P9" s="11">
        <f t="shared" si="2"/>
        <v>481.25</v>
      </c>
      <c r="Q9" s="11">
        <f t="shared" si="2"/>
        <v>522.5</v>
      </c>
      <c r="R9" s="11">
        <f t="shared" si="2"/>
        <v>550</v>
      </c>
      <c r="S9" s="13">
        <f t="shared" si="7"/>
        <v>0</v>
      </c>
      <c r="T9" s="13">
        <f t="shared" si="3"/>
        <v>0</v>
      </c>
      <c r="U9" s="13">
        <f t="shared" si="3"/>
        <v>0</v>
      </c>
      <c r="V9" s="13">
        <f t="shared" si="3"/>
        <v>0</v>
      </c>
      <c r="W9" s="13">
        <f t="shared" si="3"/>
        <v>0</v>
      </c>
      <c r="X9" s="15">
        <f t="shared" si="8"/>
        <v>536.25</v>
      </c>
      <c r="Y9" s="15">
        <f t="shared" si="4"/>
        <v>522.5</v>
      </c>
      <c r="Z9" s="15">
        <f t="shared" si="4"/>
        <v>481.25</v>
      </c>
      <c r="AA9" s="15">
        <f t="shared" si="4"/>
        <v>522.5</v>
      </c>
      <c r="AB9" s="15">
        <f t="shared" si="4"/>
        <v>550</v>
      </c>
      <c r="AD9" s="15">
        <f t="shared" si="9"/>
        <v>2612.5</v>
      </c>
    </row>
    <row r="10" spans="1:30" x14ac:dyDescent="0.2">
      <c r="A10" s="18" t="s">
        <v>60</v>
      </c>
      <c r="B10" s="18" t="s">
        <v>61</v>
      </c>
      <c r="C10" s="18">
        <v>16</v>
      </c>
      <c r="D10" s="9">
        <v>35</v>
      </c>
      <c r="E10" s="9">
        <v>37</v>
      </c>
      <c r="F10" s="9">
        <v>38</v>
      </c>
      <c r="G10" s="9">
        <v>43</v>
      </c>
      <c r="H10" s="9">
        <v>36</v>
      </c>
      <c r="I10" s="7">
        <f t="shared" si="5"/>
        <v>0</v>
      </c>
      <c r="J10" s="7">
        <f t="shared" si="5"/>
        <v>0</v>
      </c>
      <c r="K10" s="7">
        <f t="shared" si="1"/>
        <v>0</v>
      </c>
      <c r="L10" s="7">
        <f t="shared" si="1"/>
        <v>3</v>
      </c>
      <c r="M10" s="7">
        <f t="shared" si="1"/>
        <v>0</v>
      </c>
      <c r="N10" s="11">
        <f t="shared" si="6"/>
        <v>560</v>
      </c>
      <c r="O10" s="11">
        <f t="shared" si="2"/>
        <v>592</v>
      </c>
      <c r="P10" s="11">
        <f t="shared" si="2"/>
        <v>608</v>
      </c>
      <c r="Q10" s="11">
        <f t="shared" si="2"/>
        <v>688</v>
      </c>
      <c r="R10" s="11">
        <f t="shared" si="2"/>
        <v>576</v>
      </c>
      <c r="S10" s="13">
        <f t="shared" si="7"/>
        <v>0</v>
      </c>
      <c r="T10" s="13">
        <f t="shared" si="3"/>
        <v>0</v>
      </c>
      <c r="U10" s="13">
        <f t="shared" si="3"/>
        <v>0</v>
      </c>
      <c r="V10" s="13">
        <f t="shared" si="3"/>
        <v>24</v>
      </c>
      <c r="W10" s="13">
        <f t="shared" si="3"/>
        <v>0</v>
      </c>
      <c r="X10" s="15">
        <f t="shared" si="8"/>
        <v>560</v>
      </c>
      <c r="Y10" s="15">
        <f t="shared" si="4"/>
        <v>592</v>
      </c>
      <c r="Z10" s="15">
        <f t="shared" si="4"/>
        <v>608</v>
      </c>
      <c r="AA10" s="15">
        <f t="shared" si="4"/>
        <v>712</v>
      </c>
      <c r="AB10" s="15">
        <f t="shared" si="4"/>
        <v>576</v>
      </c>
      <c r="AD10" s="15">
        <f t="shared" si="9"/>
        <v>3048</v>
      </c>
    </row>
    <row r="11" spans="1:30" x14ac:dyDescent="0.2">
      <c r="A11" s="18" t="s">
        <v>62</v>
      </c>
      <c r="B11" s="18" t="s">
        <v>24</v>
      </c>
      <c r="C11" s="18">
        <v>19</v>
      </c>
      <c r="D11" s="9">
        <v>38</v>
      </c>
      <c r="E11" s="9">
        <v>38</v>
      </c>
      <c r="F11" s="9">
        <v>38</v>
      </c>
      <c r="G11" s="9">
        <v>42</v>
      </c>
      <c r="H11" s="9">
        <v>35</v>
      </c>
      <c r="I11" s="7">
        <f t="shared" si="5"/>
        <v>0</v>
      </c>
      <c r="J11" s="7">
        <f t="shared" si="5"/>
        <v>0</v>
      </c>
      <c r="K11" s="7">
        <f t="shared" si="1"/>
        <v>0</v>
      </c>
      <c r="L11" s="7">
        <f t="shared" si="1"/>
        <v>2</v>
      </c>
      <c r="M11" s="7">
        <f t="shared" si="1"/>
        <v>0</v>
      </c>
      <c r="N11" s="11">
        <f t="shared" si="6"/>
        <v>722</v>
      </c>
      <c r="O11" s="11">
        <f t="shared" si="2"/>
        <v>722</v>
      </c>
      <c r="P11" s="11">
        <f t="shared" si="2"/>
        <v>722</v>
      </c>
      <c r="Q11" s="11">
        <f t="shared" si="2"/>
        <v>798</v>
      </c>
      <c r="R11" s="11">
        <f t="shared" si="2"/>
        <v>665</v>
      </c>
      <c r="S11" s="13">
        <f t="shared" si="7"/>
        <v>0</v>
      </c>
      <c r="T11" s="13">
        <f t="shared" si="3"/>
        <v>0</v>
      </c>
      <c r="U11" s="13">
        <f t="shared" si="3"/>
        <v>0</v>
      </c>
      <c r="V11" s="13">
        <f t="shared" si="3"/>
        <v>19</v>
      </c>
      <c r="W11" s="13">
        <f t="shared" si="3"/>
        <v>0</v>
      </c>
      <c r="X11" s="15">
        <f t="shared" si="8"/>
        <v>722</v>
      </c>
      <c r="Y11" s="15">
        <f t="shared" si="4"/>
        <v>722</v>
      </c>
      <c r="Z11" s="15">
        <f t="shared" si="4"/>
        <v>722</v>
      </c>
      <c r="AA11" s="15">
        <f t="shared" si="4"/>
        <v>817</v>
      </c>
      <c r="AB11" s="15">
        <f t="shared" si="4"/>
        <v>665</v>
      </c>
      <c r="AD11" s="15">
        <f t="shared" si="9"/>
        <v>3648</v>
      </c>
    </row>
    <row r="12" spans="1:30" x14ac:dyDescent="0.2">
      <c r="A12" s="18" t="s">
        <v>63</v>
      </c>
      <c r="B12" s="18" t="s">
        <v>64</v>
      </c>
      <c r="C12" s="18">
        <v>14.5</v>
      </c>
      <c r="D12" s="9">
        <v>36</v>
      </c>
      <c r="E12" s="9">
        <v>44</v>
      </c>
      <c r="F12" s="9">
        <v>44</v>
      </c>
      <c r="G12" s="9">
        <v>35</v>
      </c>
      <c r="H12" s="9">
        <v>45</v>
      </c>
      <c r="I12" s="7">
        <f t="shared" si="5"/>
        <v>0</v>
      </c>
      <c r="J12" s="7">
        <f t="shared" si="5"/>
        <v>4</v>
      </c>
      <c r="K12" s="7">
        <f t="shared" si="1"/>
        <v>4</v>
      </c>
      <c r="L12" s="7">
        <f t="shared" si="1"/>
        <v>0</v>
      </c>
      <c r="M12" s="7">
        <f t="shared" si="1"/>
        <v>5</v>
      </c>
      <c r="N12" s="11">
        <f t="shared" si="6"/>
        <v>522</v>
      </c>
      <c r="O12" s="11">
        <f t="shared" si="2"/>
        <v>638</v>
      </c>
      <c r="P12" s="11">
        <f t="shared" si="2"/>
        <v>638</v>
      </c>
      <c r="Q12" s="11">
        <f t="shared" si="2"/>
        <v>507.5</v>
      </c>
      <c r="R12" s="11">
        <f t="shared" si="2"/>
        <v>652.5</v>
      </c>
      <c r="S12" s="13">
        <f t="shared" si="7"/>
        <v>0</v>
      </c>
      <c r="T12" s="13">
        <f t="shared" si="3"/>
        <v>29</v>
      </c>
      <c r="U12" s="13">
        <f t="shared" si="3"/>
        <v>29</v>
      </c>
      <c r="V12" s="13">
        <f t="shared" si="3"/>
        <v>0</v>
      </c>
      <c r="W12" s="13">
        <f t="shared" si="3"/>
        <v>36.25</v>
      </c>
      <c r="X12" s="15">
        <f t="shared" si="8"/>
        <v>522</v>
      </c>
      <c r="Y12" s="15">
        <f t="shared" si="4"/>
        <v>667</v>
      </c>
      <c r="Z12" s="15">
        <f t="shared" si="4"/>
        <v>667</v>
      </c>
      <c r="AA12" s="15">
        <f t="shared" si="4"/>
        <v>507.5</v>
      </c>
      <c r="AB12" s="15">
        <f t="shared" si="4"/>
        <v>688.75</v>
      </c>
      <c r="AD12" s="15">
        <f t="shared" si="9"/>
        <v>3052.25</v>
      </c>
    </row>
    <row r="13" spans="1:30" x14ac:dyDescent="0.2">
      <c r="A13" s="18" t="s">
        <v>65</v>
      </c>
      <c r="B13" s="18" t="s">
        <v>66</v>
      </c>
      <c r="C13" s="18">
        <v>21</v>
      </c>
      <c r="D13" s="9">
        <v>39</v>
      </c>
      <c r="E13" s="9">
        <v>42</v>
      </c>
      <c r="F13" s="9">
        <v>38</v>
      </c>
      <c r="G13" s="9">
        <v>37</v>
      </c>
      <c r="H13" s="9">
        <v>42</v>
      </c>
      <c r="I13" s="7">
        <f t="shared" si="5"/>
        <v>0</v>
      </c>
      <c r="J13" s="7">
        <f t="shared" si="5"/>
        <v>2</v>
      </c>
      <c r="K13" s="7">
        <f t="shared" si="1"/>
        <v>0</v>
      </c>
      <c r="L13" s="7">
        <f t="shared" si="1"/>
        <v>0</v>
      </c>
      <c r="M13" s="7">
        <f t="shared" si="1"/>
        <v>2</v>
      </c>
      <c r="N13" s="11">
        <f t="shared" si="6"/>
        <v>819</v>
      </c>
      <c r="O13" s="11">
        <f t="shared" si="2"/>
        <v>882</v>
      </c>
      <c r="P13" s="11">
        <f t="shared" si="2"/>
        <v>798</v>
      </c>
      <c r="Q13" s="11">
        <f t="shared" si="2"/>
        <v>777</v>
      </c>
      <c r="R13" s="11">
        <f t="shared" si="2"/>
        <v>882</v>
      </c>
      <c r="S13" s="13">
        <f t="shared" si="7"/>
        <v>0</v>
      </c>
      <c r="T13" s="13">
        <f t="shared" si="3"/>
        <v>21</v>
      </c>
      <c r="U13" s="13">
        <f t="shared" si="3"/>
        <v>0</v>
      </c>
      <c r="V13" s="13">
        <f t="shared" si="3"/>
        <v>0</v>
      </c>
      <c r="W13" s="13">
        <f t="shared" si="3"/>
        <v>21</v>
      </c>
      <c r="X13" s="15">
        <f t="shared" si="8"/>
        <v>819</v>
      </c>
      <c r="Y13" s="15">
        <f t="shared" si="4"/>
        <v>903</v>
      </c>
      <c r="Z13" s="15">
        <f t="shared" si="4"/>
        <v>798</v>
      </c>
      <c r="AA13" s="15">
        <f t="shared" si="4"/>
        <v>777</v>
      </c>
      <c r="AB13" s="15">
        <f t="shared" si="4"/>
        <v>903</v>
      </c>
      <c r="AD13" s="15">
        <f t="shared" si="9"/>
        <v>4200</v>
      </c>
    </row>
    <row r="14" spans="1:30" x14ac:dyDescent="0.2">
      <c r="A14" s="18" t="s">
        <v>9</v>
      </c>
      <c r="B14" s="18" t="s">
        <v>67</v>
      </c>
      <c r="C14" s="18">
        <v>17.75</v>
      </c>
      <c r="D14" s="9">
        <v>37</v>
      </c>
      <c r="E14" s="9">
        <v>35</v>
      </c>
      <c r="F14" s="9">
        <v>35</v>
      </c>
      <c r="G14" s="9">
        <v>39</v>
      </c>
      <c r="H14" s="9">
        <v>40</v>
      </c>
      <c r="I14" s="7">
        <f t="shared" si="5"/>
        <v>0</v>
      </c>
      <c r="J14" s="7">
        <f t="shared" si="5"/>
        <v>0</v>
      </c>
      <c r="K14" s="7">
        <f t="shared" si="1"/>
        <v>0</v>
      </c>
      <c r="L14" s="7">
        <f t="shared" si="1"/>
        <v>0</v>
      </c>
      <c r="M14" s="7">
        <f t="shared" si="1"/>
        <v>0</v>
      </c>
      <c r="N14" s="11">
        <f t="shared" si="6"/>
        <v>656.75</v>
      </c>
      <c r="O14" s="11">
        <f t="shared" si="2"/>
        <v>621.25</v>
      </c>
      <c r="P14" s="11">
        <f t="shared" si="2"/>
        <v>621.25</v>
      </c>
      <c r="Q14" s="11">
        <f t="shared" si="2"/>
        <v>692.25</v>
      </c>
      <c r="R14" s="11">
        <f t="shared" si="2"/>
        <v>710</v>
      </c>
      <c r="S14" s="13">
        <f t="shared" si="7"/>
        <v>0</v>
      </c>
      <c r="T14" s="13">
        <f t="shared" si="3"/>
        <v>0</v>
      </c>
      <c r="U14" s="13">
        <f t="shared" si="3"/>
        <v>0</v>
      </c>
      <c r="V14" s="13">
        <f t="shared" si="3"/>
        <v>0</v>
      </c>
      <c r="W14" s="13">
        <f t="shared" si="3"/>
        <v>0</v>
      </c>
      <c r="X14" s="15">
        <f t="shared" si="8"/>
        <v>656.75</v>
      </c>
      <c r="Y14" s="15">
        <f t="shared" si="4"/>
        <v>621.25</v>
      </c>
      <c r="Z14" s="15">
        <f t="shared" si="4"/>
        <v>621.25</v>
      </c>
      <c r="AA14" s="15">
        <f t="shared" si="4"/>
        <v>692.25</v>
      </c>
      <c r="AB14" s="15">
        <f t="shared" si="4"/>
        <v>710</v>
      </c>
      <c r="AD14" s="15">
        <f t="shared" si="9"/>
        <v>3301.5</v>
      </c>
    </row>
    <row r="15" spans="1:30" x14ac:dyDescent="0.2">
      <c r="A15" s="18" t="s">
        <v>68</v>
      </c>
      <c r="B15" s="18" t="s">
        <v>69</v>
      </c>
      <c r="C15" s="18">
        <v>12</v>
      </c>
      <c r="D15" s="9">
        <v>40</v>
      </c>
      <c r="E15" s="9">
        <v>41</v>
      </c>
      <c r="F15" s="9">
        <v>43</v>
      </c>
      <c r="G15" s="9">
        <v>39</v>
      </c>
      <c r="H15" s="9">
        <v>36</v>
      </c>
      <c r="I15" s="7">
        <f t="shared" si="5"/>
        <v>0</v>
      </c>
      <c r="J15" s="7">
        <f t="shared" si="5"/>
        <v>1</v>
      </c>
      <c r="K15" s="7">
        <f t="shared" si="1"/>
        <v>3</v>
      </c>
      <c r="L15" s="7">
        <f t="shared" si="1"/>
        <v>0</v>
      </c>
      <c r="M15" s="7">
        <f t="shared" si="1"/>
        <v>0</v>
      </c>
      <c r="N15" s="11">
        <f t="shared" si="6"/>
        <v>480</v>
      </c>
      <c r="O15" s="11">
        <f t="shared" si="2"/>
        <v>492</v>
      </c>
      <c r="P15" s="11">
        <f t="shared" si="2"/>
        <v>516</v>
      </c>
      <c r="Q15" s="11">
        <f t="shared" si="2"/>
        <v>468</v>
      </c>
      <c r="R15" s="11">
        <f t="shared" si="2"/>
        <v>432</v>
      </c>
      <c r="S15" s="13">
        <f t="shared" si="7"/>
        <v>0</v>
      </c>
      <c r="T15" s="13">
        <f t="shared" si="3"/>
        <v>6</v>
      </c>
      <c r="U15" s="13">
        <f t="shared" si="3"/>
        <v>18</v>
      </c>
      <c r="V15" s="13">
        <f t="shared" si="3"/>
        <v>0</v>
      </c>
      <c r="W15" s="13">
        <f t="shared" si="3"/>
        <v>0</v>
      </c>
      <c r="X15" s="15">
        <f t="shared" si="8"/>
        <v>480</v>
      </c>
      <c r="Y15" s="15">
        <f t="shared" si="4"/>
        <v>498</v>
      </c>
      <c r="Z15" s="15">
        <f t="shared" si="4"/>
        <v>534</v>
      </c>
      <c r="AA15" s="15">
        <f t="shared" si="4"/>
        <v>468</v>
      </c>
      <c r="AB15" s="15">
        <f t="shared" si="4"/>
        <v>432</v>
      </c>
      <c r="AD15" s="15">
        <f t="shared" si="9"/>
        <v>2412</v>
      </c>
    </row>
    <row r="16" spans="1:30" x14ac:dyDescent="0.2">
      <c r="A16" s="18" t="s">
        <v>70</v>
      </c>
      <c r="B16" s="18" t="s">
        <v>71</v>
      </c>
      <c r="C16" s="18">
        <v>22</v>
      </c>
      <c r="D16" s="9">
        <v>39</v>
      </c>
      <c r="E16" s="9">
        <v>44</v>
      </c>
      <c r="F16" s="9">
        <v>45</v>
      </c>
      <c r="G16" s="9">
        <v>45</v>
      </c>
      <c r="H16" s="9">
        <v>43</v>
      </c>
      <c r="I16" s="7">
        <f t="shared" si="5"/>
        <v>0</v>
      </c>
      <c r="J16" s="7">
        <f t="shared" si="5"/>
        <v>4</v>
      </c>
      <c r="K16" s="7">
        <f t="shared" si="1"/>
        <v>5</v>
      </c>
      <c r="L16" s="7">
        <f t="shared" si="1"/>
        <v>5</v>
      </c>
      <c r="M16" s="7">
        <f t="shared" si="1"/>
        <v>3</v>
      </c>
      <c r="N16" s="11">
        <f t="shared" si="6"/>
        <v>858</v>
      </c>
      <c r="O16" s="11">
        <f t="shared" si="2"/>
        <v>968</v>
      </c>
      <c r="P16" s="11">
        <f t="shared" si="2"/>
        <v>990</v>
      </c>
      <c r="Q16" s="11">
        <f t="shared" si="2"/>
        <v>990</v>
      </c>
      <c r="R16" s="11">
        <f t="shared" si="2"/>
        <v>946</v>
      </c>
      <c r="S16" s="13">
        <f t="shared" si="7"/>
        <v>0</v>
      </c>
      <c r="T16" s="13">
        <f t="shared" si="3"/>
        <v>44</v>
      </c>
      <c r="U16" s="13">
        <f t="shared" si="3"/>
        <v>55</v>
      </c>
      <c r="V16" s="13">
        <f t="shared" si="3"/>
        <v>55</v>
      </c>
      <c r="W16" s="13">
        <f t="shared" si="3"/>
        <v>33</v>
      </c>
      <c r="X16" s="15">
        <f t="shared" si="8"/>
        <v>858</v>
      </c>
      <c r="Y16" s="15">
        <f t="shared" si="4"/>
        <v>1012</v>
      </c>
      <c r="Z16" s="15">
        <f t="shared" si="4"/>
        <v>1045</v>
      </c>
      <c r="AA16" s="15">
        <f t="shared" si="4"/>
        <v>1045</v>
      </c>
      <c r="AB16" s="15">
        <f t="shared" si="4"/>
        <v>979</v>
      </c>
      <c r="AD16" s="15">
        <f t="shared" si="9"/>
        <v>4939</v>
      </c>
    </row>
    <row r="17" spans="1:34" x14ac:dyDescent="0.2">
      <c r="A17" s="18" t="s">
        <v>72</v>
      </c>
      <c r="B17" s="18" t="s">
        <v>73</v>
      </c>
      <c r="C17" s="18">
        <v>14.75</v>
      </c>
      <c r="D17" s="9">
        <v>36</v>
      </c>
      <c r="E17" s="9">
        <v>36</v>
      </c>
      <c r="F17" s="9">
        <v>42</v>
      </c>
      <c r="G17" s="9">
        <v>44</v>
      </c>
      <c r="H17" s="9">
        <v>44</v>
      </c>
      <c r="I17" s="7">
        <f t="shared" si="5"/>
        <v>0</v>
      </c>
      <c r="J17" s="7">
        <f t="shared" si="5"/>
        <v>0</v>
      </c>
      <c r="K17" s="7">
        <f t="shared" si="1"/>
        <v>2</v>
      </c>
      <c r="L17" s="7">
        <f t="shared" si="1"/>
        <v>4</v>
      </c>
      <c r="M17" s="7">
        <f t="shared" si="1"/>
        <v>4</v>
      </c>
      <c r="N17" s="11">
        <f t="shared" si="6"/>
        <v>531</v>
      </c>
      <c r="O17" s="11">
        <f t="shared" si="2"/>
        <v>531</v>
      </c>
      <c r="P17" s="11">
        <f t="shared" si="2"/>
        <v>619.5</v>
      </c>
      <c r="Q17" s="11">
        <f t="shared" si="2"/>
        <v>649</v>
      </c>
      <c r="R17" s="11">
        <f t="shared" si="2"/>
        <v>649</v>
      </c>
      <c r="S17" s="13">
        <f t="shared" si="7"/>
        <v>0</v>
      </c>
      <c r="T17" s="13">
        <f t="shared" si="3"/>
        <v>0</v>
      </c>
      <c r="U17" s="13">
        <f t="shared" si="3"/>
        <v>14.75</v>
      </c>
      <c r="V17" s="13">
        <f t="shared" si="3"/>
        <v>29.5</v>
      </c>
      <c r="W17" s="13">
        <f t="shared" si="3"/>
        <v>29.5</v>
      </c>
      <c r="X17" s="15">
        <f t="shared" si="8"/>
        <v>531</v>
      </c>
      <c r="Y17" s="15">
        <f t="shared" si="4"/>
        <v>531</v>
      </c>
      <c r="Z17" s="15">
        <f t="shared" si="4"/>
        <v>634.25</v>
      </c>
      <c r="AA17" s="15">
        <f t="shared" si="4"/>
        <v>678.5</v>
      </c>
      <c r="AB17" s="15">
        <f t="shared" si="4"/>
        <v>678.5</v>
      </c>
      <c r="AD17" s="15">
        <f t="shared" si="9"/>
        <v>3053.25</v>
      </c>
    </row>
    <row r="18" spans="1:34" x14ac:dyDescent="0.2">
      <c r="A18" s="18" t="s">
        <v>74</v>
      </c>
      <c r="B18" s="18" t="s">
        <v>75</v>
      </c>
      <c r="C18" s="18">
        <v>18.5</v>
      </c>
      <c r="D18" s="9">
        <v>38</v>
      </c>
      <c r="E18" s="9">
        <v>41</v>
      </c>
      <c r="F18" s="9">
        <v>42</v>
      </c>
      <c r="G18" s="9">
        <v>37</v>
      </c>
      <c r="H18" s="9">
        <v>35</v>
      </c>
      <c r="I18" s="7">
        <f t="shared" si="5"/>
        <v>0</v>
      </c>
      <c r="J18" s="7">
        <f t="shared" si="5"/>
        <v>1</v>
      </c>
      <c r="K18" s="7">
        <f t="shared" si="1"/>
        <v>2</v>
      </c>
      <c r="L18" s="7">
        <f t="shared" si="1"/>
        <v>0</v>
      </c>
      <c r="M18" s="7">
        <f t="shared" si="1"/>
        <v>0</v>
      </c>
      <c r="N18" s="11">
        <f t="shared" si="6"/>
        <v>703</v>
      </c>
      <c r="O18" s="11">
        <f t="shared" si="2"/>
        <v>758.5</v>
      </c>
      <c r="P18" s="11">
        <f t="shared" si="2"/>
        <v>777</v>
      </c>
      <c r="Q18" s="11">
        <f t="shared" si="2"/>
        <v>684.5</v>
      </c>
      <c r="R18" s="11">
        <f t="shared" si="2"/>
        <v>647.5</v>
      </c>
      <c r="S18" s="13">
        <f t="shared" si="7"/>
        <v>0</v>
      </c>
      <c r="T18" s="13">
        <f t="shared" si="3"/>
        <v>9.25</v>
      </c>
      <c r="U18" s="13">
        <f t="shared" si="3"/>
        <v>18.5</v>
      </c>
      <c r="V18" s="13">
        <f t="shared" si="3"/>
        <v>0</v>
      </c>
      <c r="W18" s="13">
        <f t="shared" si="3"/>
        <v>0</v>
      </c>
      <c r="X18" s="15">
        <f t="shared" si="8"/>
        <v>703</v>
      </c>
      <c r="Y18" s="15">
        <f t="shared" si="4"/>
        <v>767.75</v>
      </c>
      <c r="Z18" s="15">
        <f t="shared" si="4"/>
        <v>795.5</v>
      </c>
      <c r="AA18" s="15">
        <f t="shared" si="4"/>
        <v>684.5</v>
      </c>
      <c r="AB18" s="15">
        <f t="shared" si="4"/>
        <v>647.5</v>
      </c>
      <c r="AD18" s="15">
        <f t="shared" si="9"/>
        <v>3598.25</v>
      </c>
    </row>
    <row r="19" spans="1:34" x14ac:dyDescent="0.2">
      <c r="A19" s="18" t="s">
        <v>76</v>
      </c>
      <c r="B19" s="18" t="s">
        <v>77</v>
      </c>
      <c r="C19" s="18">
        <v>20.5</v>
      </c>
      <c r="D19" s="9">
        <v>38</v>
      </c>
      <c r="E19" s="9">
        <v>40</v>
      </c>
      <c r="F19" s="9">
        <v>44</v>
      </c>
      <c r="G19" s="9">
        <v>45</v>
      </c>
      <c r="H19" s="9">
        <v>39</v>
      </c>
      <c r="I19" s="7">
        <f t="shared" si="5"/>
        <v>0</v>
      </c>
      <c r="J19" s="7">
        <f t="shared" si="5"/>
        <v>0</v>
      </c>
      <c r="K19" s="7">
        <f t="shared" si="1"/>
        <v>4</v>
      </c>
      <c r="L19" s="7">
        <f t="shared" si="1"/>
        <v>5</v>
      </c>
      <c r="M19" s="7">
        <f t="shared" si="1"/>
        <v>0</v>
      </c>
      <c r="N19" s="11">
        <f t="shared" si="6"/>
        <v>779</v>
      </c>
      <c r="O19" s="11">
        <f t="shared" si="2"/>
        <v>820</v>
      </c>
      <c r="P19" s="11">
        <f t="shared" si="2"/>
        <v>902</v>
      </c>
      <c r="Q19" s="11">
        <f t="shared" si="2"/>
        <v>922.5</v>
      </c>
      <c r="R19" s="11">
        <f t="shared" si="2"/>
        <v>799.5</v>
      </c>
      <c r="S19" s="13">
        <f t="shared" si="7"/>
        <v>0</v>
      </c>
      <c r="T19" s="13">
        <f t="shared" si="3"/>
        <v>0</v>
      </c>
      <c r="U19" s="13">
        <f t="shared" si="3"/>
        <v>41</v>
      </c>
      <c r="V19" s="13">
        <f t="shared" si="3"/>
        <v>51.25</v>
      </c>
      <c r="W19" s="13">
        <f t="shared" si="3"/>
        <v>0</v>
      </c>
      <c r="X19" s="15">
        <f t="shared" si="8"/>
        <v>779</v>
      </c>
      <c r="Y19" s="15">
        <f t="shared" si="4"/>
        <v>820</v>
      </c>
      <c r="Z19" s="15">
        <f t="shared" si="4"/>
        <v>943</v>
      </c>
      <c r="AA19" s="15">
        <f t="shared" si="4"/>
        <v>973.75</v>
      </c>
      <c r="AB19" s="15">
        <f t="shared" si="4"/>
        <v>799.5</v>
      </c>
      <c r="AD19" s="15">
        <f t="shared" si="9"/>
        <v>4315.25</v>
      </c>
    </row>
    <row r="20" spans="1:34" x14ac:dyDescent="0.2">
      <c r="A20" s="18" t="s">
        <v>78</v>
      </c>
      <c r="B20" s="18" t="s">
        <v>12</v>
      </c>
      <c r="C20" s="18">
        <v>13</v>
      </c>
      <c r="D20" s="9">
        <v>39</v>
      </c>
      <c r="E20" s="9">
        <v>41</v>
      </c>
      <c r="F20" s="9">
        <v>39</v>
      </c>
      <c r="G20" s="9">
        <v>39</v>
      </c>
      <c r="H20" s="9">
        <v>38</v>
      </c>
      <c r="I20" s="7">
        <f t="shared" si="5"/>
        <v>0</v>
      </c>
      <c r="J20" s="7">
        <f t="shared" si="5"/>
        <v>1</v>
      </c>
      <c r="K20" s="7">
        <f t="shared" ref="K20:K23" si="10">IF(F20&gt;40,F20-40,0)</f>
        <v>0</v>
      </c>
      <c r="L20" s="7">
        <f t="shared" ref="L20:L23" si="11">IF(G20&gt;40,G20-40,0)</f>
        <v>0</v>
      </c>
      <c r="M20" s="7">
        <f t="shared" ref="M20:M23" si="12">IF(H20&gt;40,H20-40,0)</f>
        <v>0</v>
      </c>
      <c r="N20" s="11">
        <f t="shared" si="6"/>
        <v>507</v>
      </c>
      <c r="O20" s="11">
        <f t="shared" ref="O20:O23" si="13">$C20*E20</f>
        <v>533</v>
      </c>
      <c r="P20" s="11">
        <f t="shared" ref="P20:P23" si="14">$C20*F20</f>
        <v>507</v>
      </c>
      <c r="Q20" s="11">
        <f t="shared" ref="Q20:Q23" si="15">$C20*G20</f>
        <v>507</v>
      </c>
      <c r="R20" s="11">
        <f t="shared" ref="R20:R23" si="16">$C20*H20</f>
        <v>494</v>
      </c>
      <c r="S20" s="13">
        <f t="shared" si="7"/>
        <v>0</v>
      </c>
      <c r="T20" s="13">
        <f t="shared" ref="T20:T23" si="17">0.5*$C20*J20</f>
        <v>6.5</v>
      </c>
      <c r="U20" s="13">
        <f t="shared" ref="U20:U23" si="18">0.5*$C20*K20</f>
        <v>0</v>
      </c>
      <c r="V20" s="13">
        <f t="shared" ref="V20:V23" si="19">0.5*$C20*L20</f>
        <v>0</v>
      </c>
      <c r="W20" s="13">
        <f t="shared" ref="W20:W23" si="20">0.5*$C20*M20</f>
        <v>0</v>
      </c>
      <c r="X20" s="15">
        <f t="shared" si="8"/>
        <v>507</v>
      </c>
      <c r="Y20" s="15">
        <f t="shared" ref="Y20:Y23" si="21">O20+T20</f>
        <v>539.5</v>
      </c>
      <c r="Z20" s="15">
        <f t="shared" ref="Z20:Z23" si="22">P20+U20</f>
        <v>507</v>
      </c>
      <c r="AA20" s="15">
        <f t="shared" ref="AA20:AA23" si="23">Q20+V20</f>
        <v>507</v>
      </c>
      <c r="AB20" s="15">
        <f t="shared" ref="AB20:AB23" si="24">R20+W20</f>
        <v>494</v>
      </c>
      <c r="AD20" s="15">
        <f t="shared" si="9"/>
        <v>2554.5</v>
      </c>
    </row>
    <row r="21" spans="1:34" x14ac:dyDescent="0.2">
      <c r="A21" s="18" t="s">
        <v>79</v>
      </c>
      <c r="B21" s="18" t="s">
        <v>80</v>
      </c>
      <c r="C21" s="18">
        <v>15</v>
      </c>
      <c r="D21" s="9">
        <v>39</v>
      </c>
      <c r="E21" s="9">
        <v>39</v>
      </c>
      <c r="F21" s="9">
        <v>43</v>
      </c>
      <c r="G21" s="9">
        <v>39</v>
      </c>
      <c r="H21" s="9">
        <v>38</v>
      </c>
      <c r="I21" s="7">
        <f t="shared" si="5"/>
        <v>0</v>
      </c>
      <c r="J21" s="7">
        <f t="shared" si="5"/>
        <v>0</v>
      </c>
      <c r="K21" s="7">
        <f t="shared" si="10"/>
        <v>3</v>
      </c>
      <c r="L21" s="7">
        <f t="shared" si="11"/>
        <v>0</v>
      </c>
      <c r="M21" s="7">
        <f t="shared" si="12"/>
        <v>0</v>
      </c>
      <c r="N21" s="11">
        <f t="shared" si="6"/>
        <v>585</v>
      </c>
      <c r="O21" s="11">
        <f t="shared" si="13"/>
        <v>585</v>
      </c>
      <c r="P21" s="11">
        <f t="shared" si="14"/>
        <v>645</v>
      </c>
      <c r="Q21" s="11">
        <f t="shared" si="15"/>
        <v>585</v>
      </c>
      <c r="R21" s="11">
        <f t="shared" si="16"/>
        <v>570</v>
      </c>
      <c r="S21" s="13">
        <f t="shared" si="7"/>
        <v>0</v>
      </c>
      <c r="T21" s="13">
        <f t="shared" si="17"/>
        <v>0</v>
      </c>
      <c r="U21" s="13">
        <f t="shared" si="18"/>
        <v>22.5</v>
      </c>
      <c r="V21" s="13">
        <f t="shared" si="19"/>
        <v>0</v>
      </c>
      <c r="W21" s="13">
        <f t="shared" si="20"/>
        <v>0</v>
      </c>
      <c r="X21" s="15">
        <f t="shared" si="8"/>
        <v>585</v>
      </c>
      <c r="Y21" s="15">
        <f t="shared" si="21"/>
        <v>585</v>
      </c>
      <c r="Z21" s="15">
        <f t="shared" si="22"/>
        <v>667.5</v>
      </c>
      <c r="AA21" s="15">
        <f t="shared" si="23"/>
        <v>585</v>
      </c>
      <c r="AB21" s="15">
        <f t="shared" si="24"/>
        <v>570</v>
      </c>
      <c r="AD21" s="15">
        <f t="shared" si="9"/>
        <v>2992.5</v>
      </c>
    </row>
    <row r="22" spans="1:34" x14ac:dyDescent="0.2">
      <c r="A22" s="18" t="s">
        <v>81</v>
      </c>
      <c r="B22" s="18" t="s">
        <v>82</v>
      </c>
      <c r="C22" s="18">
        <v>19.5</v>
      </c>
      <c r="D22" s="9">
        <v>45</v>
      </c>
      <c r="E22" s="9">
        <v>42</v>
      </c>
      <c r="F22" s="9">
        <v>40</v>
      </c>
      <c r="G22" s="9">
        <v>40</v>
      </c>
      <c r="H22" s="9">
        <v>35</v>
      </c>
      <c r="I22" s="7">
        <f t="shared" si="5"/>
        <v>5</v>
      </c>
      <c r="J22" s="7">
        <f t="shared" si="5"/>
        <v>2</v>
      </c>
      <c r="K22" s="7">
        <f t="shared" si="10"/>
        <v>0</v>
      </c>
      <c r="L22" s="7">
        <f t="shared" si="11"/>
        <v>0</v>
      </c>
      <c r="M22" s="7">
        <f t="shared" si="12"/>
        <v>0</v>
      </c>
      <c r="N22" s="11">
        <f t="shared" si="6"/>
        <v>877.5</v>
      </c>
      <c r="O22" s="11">
        <f t="shared" si="13"/>
        <v>819</v>
      </c>
      <c r="P22" s="11">
        <f t="shared" si="14"/>
        <v>780</v>
      </c>
      <c r="Q22" s="11">
        <f t="shared" si="15"/>
        <v>780</v>
      </c>
      <c r="R22" s="11">
        <f t="shared" si="16"/>
        <v>682.5</v>
      </c>
      <c r="S22" s="13">
        <f t="shared" si="7"/>
        <v>48.75</v>
      </c>
      <c r="T22" s="13">
        <f t="shared" si="17"/>
        <v>19.5</v>
      </c>
      <c r="U22" s="13">
        <f t="shared" si="18"/>
        <v>0</v>
      </c>
      <c r="V22" s="13">
        <f t="shared" si="19"/>
        <v>0</v>
      </c>
      <c r="W22" s="13">
        <f t="shared" si="20"/>
        <v>0</v>
      </c>
      <c r="X22" s="15">
        <f t="shared" si="8"/>
        <v>926.25</v>
      </c>
      <c r="Y22" s="15">
        <f t="shared" si="21"/>
        <v>838.5</v>
      </c>
      <c r="Z22" s="15">
        <f t="shared" si="22"/>
        <v>780</v>
      </c>
      <c r="AA22" s="15">
        <f t="shared" si="23"/>
        <v>780</v>
      </c>
      <c r="AB22" s="15">
        <f t="shared" si="24"/>
        <v>682.5</v>
      </c>
      <c r="AD22" s="15">
        <f t="shared" si="9"/>
        <v>4007.25</v>
      </c>
    </row>
    <row r="23" spans="1:34" x14ac:dyDescent="0.2">
      <c r="A23" s="18" t="s">
        <v>83</v>
      </c>
      <c r="B23" s="18" t="s">
        <v>84</v>
      </c>
      <c r="C23" s="18">
        <v>16.5</v>
      </c>
      <c r="D23" s="9">
        <v>36</v>
      </c>
      <c r="E23" s="9">
        <v>40</v>
      </c>
      <c r="F23" s="9">
        <v>44</v>
      </c>
      <c r="G23" s="9">
        <v>38</v>
      </c>
      <c r="H23" s="9">
        <v>35</v>
      </c>
      <c r="I23" s="7">
        <f t="shared" si="5"/>
        <v>0</v>
      </c>
      <c r="J23" s="7">
        <f t="shared" si="5"/>
        <v>0</v>
      </c>
      <c r="K23" s="7">
        <f t="shared" si="10"/>
        <v>4</v>
      </c>
      <c r="L23" s="7">
        <f t="shared" si="11"/>
        <v>0</v>
      </c>
      <c r="M23" s="7">
        <f t="shared" si="12"/>
        <v>0</v>
      </c>
      <c r="N23" s="11">
        <f t="shared" si="6"/>
        <v>594</v>
      </c>
      <c r="O23" s="11">
        <f t="shared" si="13"/>
        <v>660</v>
      </c>
      <c r="P23" s="11">
        <f t="shared" si="14"/>
        <v>726</v>
      </c>
      <c r="Q23" s="11">
        <f t="shared" si="15"/>
        <v>627</v>
      </c>
      <c r="R23" s="11">
        <f t="shared" si="16"/>
        <v>577.5</v>
      </c>
      <c r="S23" s="13">
        <f t="shared" si="7"/>
        <v>0</v>
      </c>
      <c r="T23" s="13">
        <f t="shared" si="17"/>
        <v>0</v>
      </c>
      <c r="U23" s="13">
        <f t="shared" si="18"/>
        <v>33</v>
      </c>
      <c r="V23" s="13">
        <f t="shared" si="19"/>
        <v>0</v>
      </c>
      <c r="W23" s="13">
        <f t="shared" si="20"/>
        <v>0</v>
      </c>
      <c r="X23" s="15">
        <f t="shared" si="8"/>
        <v>594</v>
      </c>
      <c r="Y23" s="15">
        <f t="shared" si="21"/>
        <v>660</v>
      </c>
      <c r="Z23" s="15">
        <f t="shared" si="22"/>
        <v>759</v>
      </c>
      <c r="AA23" s="15">
        <f t="shared" si="23"/>
        <v>627</v>
      </c>
      <c r="AB23" s="15">
        <f t="shared" si="24"/>
        <v>577.5</v>
      </c>
      <c r="AD23" s="15">
        <f t="shared" si="9"/>
        <v>3217.5</v>
      </c>
    </row>
    <row r="25" spans="1:34" x14ac:dyDescent="0.2">
      <c r="A25" s="18" t="s">
        <v>86</v>
      </c>
      <c r="D25">
        <f>MAX(D4:D23)</f>
        <v>45</v>
      </c>
      <c r="E25">
        <f t="shared" ref="E25:AB25" si="25">MAX(E4:E23)</f>
        <v>44</v>
      </c>
      <c r="F25">
        <f t="shared" si="25"/>
        <v>45</v>
      </c>
      <c r="G25">
        <f t="shared" si="25"/>
        <v>45</v>
      </c>
      <c r="H25">
        <f t="shared" si="25"/>
        <v>45</v>
      </c>
      <c r="I25">
        <f t="shared" si="25"/>
        <v>5</v>
      </c>
      <c r="J25">
        <f t="shared" si="25"/>
        <v>4</v>
      </c>
      <c r="K25">
        <f t="shared" si="25"/>
        <v>5</v>
      </c>
      <c r="L25">
        <f t="shared" si="25"/>
        <v>5</v>
      </c>
      <c r="M25">
        <f t="shared" si="25"/>
        <v>5</v>
      </c>
      <c r="N25">
        <f t="shared" si="25"/>
        <v>877.5</v>
      </c>
      <c r="O25">
        <f t="shared" si="25"/>
        <v>968</v>
      </c>
      <c r="P25">
        <f t="shared" si="25"/>
        <v>990</v>
      </c>
      <c r="Q25">
        <f t="shared" si="25"/>
        <v>990</v>
      </c>
      <c r="R25">
        <f t="shared" si="25"/>
        <v>990</v>
      </c>
      <c r="S25">
        <f t="shared" si="25"/>
        <v>48.75</v>
      </c>
      <c r="T25">
        <f t="shared" si="25"/>
        <v>44</v>
      </c>
      <c r="U25">
        <f t="shared" si="25"/>
        <v>55</v>
      </c>
      <c r="V25">
        <f t="shared" si="25"/>
        <v>55</v>
      </c>
      <c r="W25">
        <f t="shared" si="25"/>
        <v>50.25</v>
      </c>
      <c r="X25">
        <f t="shared" si="25"/>
        <v>926.25</v>
      </c>
      <c r="Y25">
        <f t="shared" si="25"/>
        <v>1012</v>
      </c>
      <c r="Z25">
        <f t="shared" si="25"/>
        <v>1045</v>
      </c>
      <c r="AA25">
        <f t="shared" si="25"/>
        <v>1045</v>
      </c>
      <c r="AB25">
        <f t="shared" si="25"/>
        <v>1035</v>
      </c>
      <c r="AD25">
        <f t="shared" ref="AC25:AD25" si="26">MAX(AD4:AD23)</f>
        <v>4939</v>
      </c>
      <c r="AF25" t="s">
        <v>88</v>
      </c>
      <c r="AG25" t="str" cm="1">
        <f t="array" ref="AG25">_xlfn.XLOOKUP($AD25,AD4:AD23,B4:B23,B4:B23,0)</f>
        <v>Matthew</v>
      </c>
      <c r="AH25" t="str" cm="1">
        <f t="array" ref="AH25">_xlfn.XLOOKUP($AD25,AD4:AD23,A4:A23,A4:A23,0)</f>
        <v>Gonzalez</v>
      </c>
    </row>
    <row r="26" spans="1:34" x14ac:dyDescent="0.2">
      <c r="A26" s="18" t="s">
        <v>41</v>
      </c>
      <c r="D26">
        <f>MIN(D4:D23)</f>
        <v>35</v>
      </c>
      <c r="E26">
        <f t="shared" ref="E26:AB26" si="27">MIN(E4:E23)</f>
        <v>35</v>
      </c>
      <c r="F26">
        <f t="shared" si="27"/>
        <v>35</v>
      </c>
      <c r="G26">
        <f t="shared" si="27"/>
        <v>35</v>
      </c>
      <c r="H26">
        <f t="shared" si="27"/>
        <v>35</v>
      </c>
      <c r="I26">
        <f t="shared" si="27"/>
        <v>0</v>
      </c>
      <c r="J26">
        <f t="shared" si="27"/>
        <v>0</v>
      </c>
      <c r="K26">
        <f t="shared" si="27"/>
        <v>0</v>
      </c>
      <c r="L26">
        <f t="shared" si="27"/>
        <v>0</v>
      </c>
      <c r="M26">
        <f t="shared" si="27"/>
        <v>0</v>
      </c>
      <c r="N26">
        <f t="shared" si="27"/>
        <v>480</v>
      </c>
      <c r="O26">
        <f t="shared" si="27"/>
        <v>475</v>
      </c>
      <c r="P26">
        <f t="shared" si="27"/>
        <v>481.25</v>
      </c>
      <c r="Q26">
        <f t="shared" si="27"/>
        <v>462.5</v>
      </c>
      <c r="R26">
        <f t="shared" si="27"/>
        <v>432</v>
      </c>
      <c r="S26">
        <f t="shared" si="27"/>
        <v>0</v>
      </c>
      <c r="T26">
        <f t="shared" si="27"/>
        <v>0</v>
      </c>
      <c r="U26">
        <f t="shared" si="27"/>
        <v>0</v>
      </c>
      <c r="V26">
        <f t="shared" si="27"/>
        <v>0</v>
      </c>
      <c r="W26">
        <f t="shared" si="27"/>
        <v>0</v>
      </c>
      <c r="X26">
        <f t="shared" si="27"/>
        <v>480</v>
      </c>
      <c r="Y26">
        <f t="shared" si="27"/>
        <v>475</v>
      </c>
      <c r="Z26">
        <f t="shared" si="27"/>
        <v>481.25</v>
      </c>
      <c r="AA26">
        <f t="shared" si="27"/>
        <v>462.5</v>
      </c>
      <c r="AB26">
        <f t="shared" si="27"/>
        <v>432</v>
      </c>
      <c r="AD26">
        <f t="shared" ref="AC26:AD26" si="28">MIN(AD4:AD23)</f>
        <v>2412</v>
      </c>
      <c r="AF26" t="s">
        <v>89</v>
      </c>
      <c r="AG26" t="str" cm="1">
        <f t="array" ref="AG26">_xlfn.XLOOKUP($AD26,AD5:AD24,B5:B24,B5:B24,0)</f>
        <v>Elizabeth</v>
      </c>
      <c r="AH26" t="str" cm="1">
        <f t="array" ref="AH26">_xlfn.XLOOKUP($AD26,AD5:AD24,A5:A24,A5:A24,0)</f>
        <v>Lopez</v>
      </c>
    </row>
    <row r="27" spans="1:34" ht="51" x14ac:dyDescent="0.2">
      <c r="A27" s="18" t="s">
        <v>42</v>
      </c>
      <c r="D27">
        <f>AVERAGE(D4:D23)</f>
        <v>38.6</v>
      </c>
      <c r="E27">
        <f t="shared" ref="E27:AB27" si="29">AVERAGE(E4:E23)</f>
        <v>39.65</v>
      </c>
      <c r="F27">
        <f t="shared" si="29"/>
        <v>40.85</v>
      </c>
      <c r="G27">
        <f t="shared" si="29"/>
        <v>40.15</v>
      </c>
      <c r="H27">
        <f t="shared" si="29"/>
        <v>39.700000000000003</v>
      </c>
      <c r="I27">
        <f t="shared" si="29"/>
        <v>0.55000000000000004</v>
      </c>
      <c r="J27">
        <f t="shared" si="29"/>
        <v>0.85</v>
      </c>
      <c r="K27">
        <f t="shared" si="29"/>
        <v>1.8</v>
      </c>
      <c r="L27">
        <f t="shared" si="29"/>
        <v>1.35</v>
      </c>
      <c r="M27">
        <f t="shared" si="29"/>
        <v>1.4</v>
      </c>
      <c r="N27">
        <f t="shared" si="29"/>
        <v>661.08500000000004</v>
      </c>
      <c r="O27">
        <f t="shared" si="29"/>
        <v>682.14250000000004</v>
      </c>
      <c r="P27">
        <f t="shared" si="29"/>
        <v>702.51499999999999</v>
      </c>
      <c r="Q27">
        <f t="shared" si="29"/>
        <v>692.87749999999994</v>
      </c>
      <c r="R27">
        <f t="shared" si="29"/>
        <v>683.08749999999998</v>
      </c>
      <c r="S27">
        <f t="shared" si="29"/>
        <v>4.6924999999999999</v>
      </c>
      <c r="T27">
        <f t="shared" si="29"/>
        <v>7.7212500000000004</v>
      </c>
      <c r="U27">
        <f t="shared" si="29"/>
        <v>16.2575</v>
      </c>
      <c r="V27">
        <f t="shared" si="29"/>
        <v>13.044999999999998</v>
      </c>
      <c r="W27">
        <f t="shared" si="29"/>
        <v>12.90625</v>
      </c>
      <c r="X27">
        <f t="shared" si="29"/>
        <v>665.77749999999992</v>
      </c>
      <c r="Y27">
        <f t="shared" si="29"/>
        <v>689.86374999999998</v>
      </c>
      <c r="Z27">
        <f t="shared" si="29"/>
        <v>718.77250000000004</v>
      </c>
      <c r="AA27">
        <f t="shared" si="29"/>
        <v>705.92250000000001</v>
      </c>
      <c r="AB27">
        <f t="shared" si="29"/>
        <v>695.99374999999998</v>
      </c>
      <c r="AD27">
        <f t="shared" ref="AC27:AD27" si="30">AVERAGE(AD4:AD23)</f>
        <v>3476.3300000000004</v>
      </c>
      <c r="AF27" s="19" t="s">
        <v>90</v>
      </c>
      <c r="AG27" t="str" cm="1">
        <f t="array" ref="AG27">_xlfn.XLOOKUP($AD27,AD6:AD25,B6:B25,B6:B25,1)</f>
        <v>Christopher</v>
      </c>
      <c r="AH27" t="str" cm="1">
        <f t="array" ref="AH27">_xlfn.XLOOKUP($AD27,AD6:AD25,A6:A25,A6:A25,1)</f>
        <v>Anderson</v>
      </c>
    </row>
    <row r="28" spans="1:34" x14ac:dyDescent="0.2">
      <c r="A28" s="18" t="s">
        <v>43</v>
      </c>
      <c r="D28">
        <f>SUM(D4:D23)</f>
        <v>772</v>
      </c>
      <c r="E28">
        <f t="shared" ref="E28:AB28" si="31">SUM(E4:E23)</f>
        <v>793</v>
      </c>
      <c r="F28">
        <f t="shared" si="31"/>
        <v>817</v>
      </c>
      <c r="G28">
        <f t="shared" si="31"/>
        <v>803</v>
      </c>
      <c r="H28">
        <f t="shared" si="31"/>
        <v>794</v>
      </c>
      <c r="I28">
        <f t="shared" si="31"/>
        <v>11</v>
      </c>
      <c r="J28">
        <f t="shared" si="31"/>
        <v>17</v>
      </c>
      <c r="K28">
        <f t="shared" si="31"/>
        <v>36</v>
      </c>
      <c r="L28">
        <f t="shared" si="31"/>
        <v>27</v>
      </c>
      <c r="M28">
        <f t="shared" si="31"/>
        <v>28</v>
      </c>
      <c r="N28">
        <f t="shared" si="31"/>
        <v>13221.7</v>
      </c>
      <c r="O28">
        <f t="shared" si="31"/>
        <v>13642.85</v>
      </c>
      <c r="P28">
        <f t="shared" si="31"/>
        <v>14050.3</v>
      </c>
      <c r="Q28">
        <f t="shared" si="31"/>
        <v>13857.55</v>
      </c>
      <c r="R28">
        <f t="shared" si="31"/>
        <v>13661.75</v>
      </c>
      <c r="S28">
        <f t="shared" si="31"/>
        <v>93.85</v>
      </c>
      <c r="T28">
        <f t="shared" si="31"/>
        <v>154.42500000000001</v>
      </c>
      <c r="U28">
        <f t="shared" si="31"/>
        <v>325.14999999999998</v>
      </c>
      <c r="V28">
        <f t="shared" si="31"/>
        <v>260.89999999999998</v>
      </c>
      <c r="W28">
        <f t="shared" si="31"/>
        <v>258.125</v>
      </c>
      <c r="X28">
        <f t="shared" si="31"/>
        <v>13315.55</v>
      </c>
      <c r="Y28">
        <f t="shared" si="31"/>
        <v>13797.275</v>
      </c>
      <c r="Z28">
        <f t="shared" si="31"/>
        <v>14375.45</v>
      </c>
      <c r="AA28">
        <f t="shared" si="31"/>
        <v>14118.45</v>
      </c>
      <c r="AB28">
        <f t="shared" si="31"/>
        <v>13919.875</v>
      </c>
      <c r="AD28">
        <f t="shared" ref="AC28:AD28" si="32">SUM(AD4:AD23)</f>
        <v>69526.600000000006</v>
      </c>
    </row>
  </sheetData>
  <pageMargins left="0.7" right="0.7" top="0.75" bottom="0.75" header="0.3" footer="0.3"/>
  <pageSetup paperSize="9" scale="33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8F7D-59AB-034B-B34C-1FC97797CAA3}">
  <sheetPr>
    <pageSetUpPr fitToPage="1"/>
  </sheetPr>
  <dimension ref="A1:AE30"/>
  <sheetViews>
    <sheetView zoomScale="62" zoomScaleNormal="100" workbookViewId="0">
      <selection activeCell="AE30" sqref="A1:AE30"/>
    </sheetView>
  </sheetViews>
  <sheetFormatPr baseColWidth="10" defaultRowHeight="16" x14ac:dyDescent="0.2"/>
  <cols>
    <col min="1" max="1" width="12.33203125" bestFit="1" customWidth="1"/>
    <col min="2" max="2" width="13.1640625" bestFit="1" customWidth="1"/>
    <col min="3" max="4" width="8.1640625" bestFit="1" customWidth="1"/>
    <col min="5" max="5" width="9.83203125" bestFit="1" customWidth="1"/>
    <col min="6" max="6" width="6.6640625" bestFit="1" customWidth="1"/>
    <col min="8" max="10" width="8.83203125" bestFit="1" customWidth="1"/>
    <col min="11" max="11" width="7.33203125" bestFit="1" customWidth="1"/>
    <col min="13" max="13" width="11.1640625" bestFit="1" customWidth="1"/>
  </cols>
  <sheetData>
    <row r="1" spans="1:31" ht="27" x14ac:dyDescent="0.35">
      <c r="A1" s="60" t="s">
        <v>94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</row>
    <row r="2" spans="1:31" ht="27" x14ac:dyDescent="0.3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</row>
    <row r="3" spans="1:31" ht="261" x14ac:dyDescent="0.35">
      <c r="A3" s="61"/>
      <c r="B3" s="61"/>
      <c r="C3" s="62" t="s">
        <v>91</v>
      </c>
      <c r="D3" s="62" t="s">
        <v>92</v>
      </c>
      <c r="E3" s="62" t="s">
        <v>93</v>
      </c>
      <c r="F3" s="62" t="s">
        <v>95</v>
      </c>
      <c r="G3" s="63"/>
      <c r="H3" s="62" t="s">
        <v>91</v>
      </c>
      <c r="I3" s="62" t="s">
        <v>92</v>
      </c>
      <c r="J3" s="62" t="s">
        <v>93</v>
      </c>
      <c r="K3" s="62" t="s">
        <v>95</v>
      </c>
      <c r="L3" s="63"/>
      <c r="M3" s="62" t="s">
        <v>98</v>
      </c>
      <c r="N3" s="61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1"/>
      <c r="AC3" s="61"/>
      <c r="AD3" s="61"/>
      <c r="AE3" s="61"/>
    </row>
    <row r="4" spans="1:31" ht="39" x14ac:dyDescent="0.35">
      <c r="A4" s="61"/>
      <c r="B4" s="61" t="s">
        <v>96</v>
      </c>
      <c r="C4" s="65">
        <v>10</v>
      </c>
      <c r="D4" s="65">
        <v>20</v>
      </c>
      <c r="E4" s="65">
        <v>100</v>
      </c>
      <c r="F4" s="65" t="s">
        <v>97</v>
      </c>
      <c r="G4" s="61"/>
      <c r="H4" s="61"/>
      <c r="I4" s="61"/>
      <c r="J4" s="61"/>
      <c r="K4" s="61"/>
      <c r="L4" s="61"/>
      <c r="M4" s="61"/>
      <c r="N4" s="61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1"/>
      <c r="AC4" s="61"/>
      <c r="AD4" s="61"/>
      <c r="AE4" s="61"/>
    </row>
    <row r="5" spans="1:31" ht="27" x14ac:dyDescent="0.35">
      <c r="A5" s="66" t="s">
        <v>0</v>
      </c>
      <c r="B5" s="66" t="s">
        <v>1</v>
      </c>
      <c r="C5" s="65"/>
      <c r="D5" s="65"/>
      <c r="E5" s="65"/>
      <c r="F5" s="65"/>
      <c r="G5" s="61"/>
      <c r="H5" s="61"/>
      <c r="I5" s="61"/>
      <c r="J5" s="61"/>
      <c r="K5" s="61"/>
      <c r="L5" s="61"/>
      <c r="M5" s="61"/>
      <c r="N5" s="61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1"/>
      <c r="AC5" s="61"/>
      <c r="AD5" s="61"/>
      <c r="AE5" s="61"/>
    </row>
    <row r="6" spans="1:31" ht="27" x14ac:dyDescent="0.35">
      <c r="A6" s="66" t="s">
        <v>3</v>
      </c>
      <c r="B6" s="66" t="s">
        <v>4</v>
      </c>
      <c r="C6" s="67">
        <v>10</v>
      </c>
      <c r="D6" s="67">
        <v>19</v>
      </c>
      <c r="E6" s="67">
        <v>93</v>
      </c>
      <c r="F6" s="67">
        <v>1</v>
      </c>
      <c r="G6" s="61"/>
      <c r="H6" s="68">
        <f>C6/C$4</f>
        <v>1</v>
      </c>
      <c r="I6" s="68">
        <f t="shared" ref="I6:J21" si="0">D6/D$4</f>
        <v>0.95</v>
      </c>
      <c r="J6" s="68">
        <f t="shared" si="0"/>
        <v>0.93</v>
      </c>
      <c r="K6" s="69" t="str">
        <f>IF(F6=1,"PASS","FAIL")</f>
        <v>PASS</v>
      </c>
      <c r="L6" s="61"/>
      <c r="M6" s="70" t="b">
        <f>OR(H6&lt;0.5,I6&lt;0.5,J6&lt;0.5,K6&lt;&gt;"PASS")</f>
        <v>0</v>
      </c>
      <c r="N6" s="70" t="str">
        <f>IF(OR(H6&lt;0.5, I6&lt;0.5, J6&lt;0.5, K6&lt;&gt;"PASS"), "fire", "keep")</f>
        <v>keep</v>
      </c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1"/>
      <c r="AC6" s="61"/>
      <c r="AD6" s="61"/>
      <c r="AE6" s="61"/>
    </row>
    <row r="7" spans="1:31" ht="27" x14ac:dyDescent="0.35">
      <c r="A7" s="66" t="s">
        <v>5</v>
      </c>
      <c r="B7" s="66" t="s">
        <v>6</v>
      </c>
      <c r="C7" s="67">
        <v>9</v>
      </c>
      <c r="D7" s="67">
        <v>20</v>
      </c>
      <c r="E7" s="67">
        <v>100</v>
      </c>
      <c r="F7" s="67">
        <v>1</v>
      </c>
      <c r="G7" s="61"/>
      <c r="H7" s="68">
        <f t="shared" ref="H7:H22" si="1">C7/C$4</f>
        <v>0.9</v>
      </c>
      <c r="I7" s="68">
        <f t="shared" si="0"/>
        <v>1</v>
      </c>
      <c r="J7" s="68">
        <f t="shared" si="0"/>
        <v>1</v>
      </c>
      <c r="K7" s="69" t="str">
        <f t="shared" ref="K7:K22" si="2">IF(F7=1,"PASS","FAIL")</f>
        <v>PASS</v>
      </c>
      <c r="L7" s="61"/>
      <c r="M7" s="70" t="b">
        <f t="shared" ref="M7:M22" si="3">OR(H7&lt;0.5,I7&lt;0.5,J7&lt;0.5,K7&lt;&gt;"PASS")</f>
        <v>0</v>
      </c>
      <c r="N7" s="70" t="str">
        <f t="shared" ref="N7:N22" si="4">IF(OR(H7&lt;0.5, I7&lt;0.5, J7&lt;0.5, K7&lt;&gt;"PASS"), "fire", "keep")</f>
        <v>keep</v>
      </c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1"/>
      <c r="AC7" s="61"/>
      <c r="AD7" s="61"/>
      <c r="AE7" s="61"/>
    </row>
    <row r="8" spans="1:31" ht="27" x14ac:dyDescent="0.35">
      <c r="A8" s="66" t="s">
        <v>7</v>
      </c>
      <c r="B8" s="66" t="s">
        <v>8</v>
      </c>
      <c r="C8" s="67">
        <v>8</v>
      </c>
      <c r="D8" s="67">
        <v>17</v>
      </c>
      <c r="E8" s="67">
        <v>82</v>
      </c>
      <c r="F8" s="67">
        <v>0</v>
      </c>
      <c r="G8" s="61"/>
      <c r="H8" s="68">
        <f t="shared" si="1"/>
        <v>0.8</v>
      </c>
      <c r="I8" s="68">
        <f t="shared" si="0"/>
        <v>0.85</v>
      </c>
      <c r="J8" s="68">
        <f t="shared" si="0"/>
        <v>0.82</v>
      </c>
      <c r="K8" s="69" t="str">
        <f t="shared" si="2"/>
        <v>FAIL</v>
      </c>
      <c r="L8" s="61"/>
      <c r="M8" s="70" t="b">
        <f t="shared" si="3"/>
        <v>1</v>
      </c>
      <c r="N8" s="70" t="str">
        <f t="shared" si="4"/>
        <v>fire</v>
      </c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1"/>
      <c r="AC8" s="61"/>
      <c r="AD8" s="61"/>
      <c r="AE8" s="61"/>
    </row>
    <row r="9" spans="1:31" ht="27" x14ac:dyDescent="0.35">
      <c r="A9" s="66" t="s">
        <v>9</v>
      </c>
      <c r="B9" s="66" t="s">
        <v>10</v>
      </c>
      <c r="C9" s="67">
        <v>9</v>
      </c>
      <c r="D9" s="67">
        <v>10</v>
      </c>
      <c r="E9" s="67">
        <v>73</v>
      </c>
      <c r="F9" s="67">
        <v>1</v>
      </c>
      <c r="G9" s="61"/>
      <c r="H9" s="68">
        <f t="shared" si="1"/>
        <v>0.9</v>
      </c>
      <c r="I9" s="68">
        <f t="shared" si="0"/>
        <v>0.5</v>
      </c>
      <c r="J9" s="68">
        <f t="shared" si="0"/>
        <v>0.73</v>
      </c>
      <c r="K9" s="69" t="str">
        <f t="shared" si="2"/>
        <v>PASS</v>
      </c>
      <c r="L9" s="61"/>
      <c r="M9" s="70" t="b">
        <f t="shared" si="3"/>
        <v>0</v>
      </c>
      <c r="N9" s="70" t="str">
        <f t="shared" si="4"/>
        <v>keep</v>
      </c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1"/>
      <c r="AC9" s="61"/>
      <c r="AD9" s="61"/>
      <c r="AE9" s="61"/>
    </row>
    <row r="10" spans="1:31" ht="27" x14ac:dyDescent="0.35">
      <c r="A10" s="66" t="s">
        <v>11</v>
      </c>
      <c r="B10" s="66" t="s">
        <v>12</v>
      </c>
      <c r="C10" s="67">
        <v>10</v>
      </c>
      <c r="D10" s="67">
        <v>20</v>
      </c>
      <c r="E10" s="67">
        <v>59</v>
      </c>
      <c r="F10" s="67">
        <v>1</v>
      </c>
      <c r="G10" s="61"/>
      <c r="H10" s="68">
        <f t="shared" si="1"/>
        <v>1</v>
      </c>
      <c r="I10" s="68">
        <f t="shared" si="0"/>
        <v>1</v>
      </c>
      <c r="J10" s="68">
        <f t="shared" si="0"/>
        <v>0.59</v>
      </c>
      <c r="K10" s="69" t="str">
        <f t="shared" si="2"/>
        <v>PASS</v>
      </c>
      <c r="L10" s="61"/>
      <c r="M10" s="70" t="b">
        <f t="shared" si="3"/>
        <v>0</v>
      </c>
      <c r="N10" s="70" t="str">
        <f t="shared" si="4"/>
        <v>keep</v>
      </c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1"/>
      <c r="AC10" s="61"/>
      <c r="AD10" s="61"/>
      <c r="AE10" s="61"/>
    </row>
    <row r="11" spans="1:31" ht="27" x14ac:dyDescent="0.35">
      <c r="A11" s="66" t="s">
        <v>13</v>
      </c>
      <c r="B11" s="66" t="s">
        <v>14</v>
      </c>
      <c r="C11" s="67">
        <v>9</v>
      </c>
      <c r="D11" s="67">
        <v>20</v>
      </c>
      <c r="E11" s="67">
        <v>100</v>
      </c>
      <c r="F11" s="67">
        <v>1</v>
      </c>
      <c r="G11" s="61"/>
      <c r="H11" s="68">
        <f t="shared" si="1"/>
        <v>0.9</v>
      </c>
      <c r="I11" s="68">
        <f t="shared" si="0"/>
        <v>1</v>
      </c>
      <c r="J11" s="68">
        <f t="shared" si="0"/>
        <v>1</v>
      </c>
      <c r="K11" s="69" t="str">
        <f t="shared" si="2"/>
        <v>PASS</v>
      </c>
      <c r="L11" s="61"/>
      <c r="M11" s="70" t="b">
        <f t="shared" si="3"/>
        <v>0</v>
      </c>
      <c r="N11" s="70" t="str">
        <f t="shared" si="4"/>
        <v>keep</v>
      </c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1"/>
      <c r="AC11" s="61"/>
      <c r="AD11" s="61"/>
      <c r="AE11" s="61"/>
    </row>
    <row r="12" spans="1:31" ht="27" x14ac:dyDescent="0.35">
      <c r="A12" s="66" t="s">
        <v>15</v>
      </c>
      <c r="B12" s="66" t="s">
        <v>16</v>
      </c>
      <c r="C12" s="67">
        <v>8</v>
      </c>
      <c r="D12" s="67">
        <v>20</v>
      </c>
      <c r="E12" s="67">
        <v>100</v>
      </c>
      <c r="F12" s="67">
        <v>1</v>
      </c>
      <c r="G12" s="61"/>
      <c r="H12" s="68">
        <f t="shared" si="1"/>
        <v>0.8</v>
      </c>
      <c r="I12" s="68">
        <f t="shared" si="0"/>
        <v>1</v>
      </c>
      <c r="J12" s="68">
        <f t="shared" si="0"/>
        <v>1</v>
      </c>
      <c r="K12" s="69" t="str">
        <f t="shared" si="2"/>
        <v>PASS</v>
      </c>
      <c r="L12" s="61"/>
      <c r="M12" s="70" t="b">
        <f t="shared" si="3"/>
        <v>0</v>
      </c>
      <c r="N12" s="70" t="str">
        <f t="shared" si="4"/>
        <v>keep</v>
      </c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1"/>
      <c r="AC12" s="61"/>
      <c r="AD12" s="61"/>
      <c r="AE12" s="61"/>
    </row>
    <row r="13" spans="1:31" ht="27" x14ac:dyDescent="0.35">
      <c r="A13" s="66" t="s">
        <v>17</v>
      </c>
      <c r="B13" s="66" t="s">
        <v>18</v>
      </c>
      <c r="C13" s="67">
        <v>5</v>
      </c>
      <c r="D13" s="67">
        <v>6</v>
      </c>
      <c r="E13" s="67">
        <v>100</v>
      </c>
      <c r="F13" s="67">
        <v>0</v>
      </c>
      <c r="G13" s="61"/>
      <c r="H13" s="68">
        <f t="shared" si="1"/>
        <v>0.5</v>
      </c>
      <c r="I13" s="68">
        <f t="shared" si="0"/>
        <v>0.3</v>
      </c>
      <c r="J13" s="68">
        <f t="shared" si="0"/>
        <v>1</v>
      </c>
      <c r="K13" s="69" t="str">
        <f t="shared" si="2"/>
        <v>FAIL</v>
      </c>
      <c r="L13" s="61"/>
      <c r="M13" s="70" t="b">
        <f t="shared" si="3"/>
        <v>1</v>
      </c>
      <c r="N13" s="70" t="str">
        <f t="shared" si="4"/>
        <v>fire</v>
      </c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1"/>
      <c r="AC13" s="61"/>
      <c r="AD13" s="61"/>
      <c r="AE13" s="61"/>
    </row>
    <row r="14" spans="1:31" ht="27" x14ac:dyDescent="0.35">
      <c r="A14" s="66" t="s">
        <v>19</v>
      </c>
      <c r="B14" s="66" t="s">
        <v>20</v>
      </c>
      <c r="C14" s="67">
        <v>10</v>
      </c>
      <c r="D14" s="67">
        <v>20</v>
      </c>
      <c r="E14" s="67">
        <v>67</v>
      </c>
      <c r="F14" s="67">
        <v>1</v>
      </c>
      <c r="G14" s="61"/>
      <c r="H14" s="68">
        <f t="shared" si="1"/>
        <v>1</v>
      </c>
      <c r="I14" s="68">
        <f t="shared" si="0"/>
        <v>1</v>
      </c>
      <c r="J14" s="68">
        <f t="shared" si="0"/>
        <v>0.67</v>
      </c>
      <c r="K14" s="69" t="str">
        <f t="shared" si="2"/>
        <v>PASS</v>
      </c>
      <c r="L14" s="61"/>
      <c r="M14" s="70" t="b">
        <f t="shared" si="3"/>
        <v>0</v>
      </c>
      <c r="N14" s="70" t="str">
        <f t="shared" si="4"/>
        <v>keep</v>
      </c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1"/>
      <c r="AC14" s="61"/>
      <c r="AD14" s="61"/>
      <c r="AE14" s="61"/>
    </row>
    <row r="15" spans="1:31" ht="27" x14ac:dyDescent="0.35">
      <c r="A15" s="66" t="s">
        <v>21</v>
      </c>
      <c r="B15" s="66" t="s">
        <v>22</v>
      </c>
      <c r="C15" s="67">
        <v>9</v>
      </c>
      <c r="D15" s="67">
        <v>20</v>
      </c>
      <c r="E15" s="67">
        <v>70</v>
      </c>
      <c r="F15" s="67">
        <v>1</v>
      </c>
      <c r="G15" s="61"/>
      <c r="H15" s="68">
        <f t="shared" si="1"/>
        <v>0.9</v>
      </c>
      <c r="I15" s="68">
        <f t="shared" si="0"/>
        <v>1</v>
      </c>
      <c r="J15" s="68">
        <f t="shared" si="0"/>
        <v>0.7</v>
      </c>
      <c r="K15" s="69" t="str">
        <f t="shared" si="2"/>
        <v>PASS</v>
      </c>
      <c r="L15" s="61"/>
      <c r="M15" s="70" t="b">
        <f t="shared" si="3"/>
        <v>0</v>
      </c>
      <c r="N15" s="70" t="str">
        <f t="shared" si="4"/>
        <v>keep</v>
      </c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1"/>
      <c r="AC15" s="61"/>
      <c r="AD15" s="61"/>
      <c r="AE15" s="61"/>
    </row>
    <row r="16" spans="1:31" ht="27" x14ac:dyDescent="0.35">
      <c r="A16" s="66" t="s">
        <v>23</v>
      </c>
      <c r="B16" s="66" t="s">
        <v>24</v>
      </c>
      <c r="C16" s="67">
        <v>10</v>
      </c>
      <c r="D16" s="67">
        <v>20</v>
      </c>
      <c r="E16" s="67">
        <v>70</v>
      </c>
      <c r="F16" s="67">
        <v>1</v>
      </c>
      <c r="G16" s="61"/>
      <c r="H16" s="68">
        <f t="shared" si="1"/>
        <v>1</v>
      </c>
      <c r="I16" s="68">
        <f t="shared" si="0"/>
        <v>1</v>
      </c>
      <c r="J16" s="68">
        <f t="shared" si="0"/>
        <v>0.7</v>
      </c>
      <c r="K16" s="69" t="str">
        <f t="shared" si="2"/>
        <v>PASS</v>
      </c>
      <c r="L16" s="61"/>
      <c r="M16" s="70" t="b">
        <f t="shared" si="3"/>
        <v>0</v>
      </c>
      <c r="N16" s="70" t="str">
        <f t="shared" si="4"/>
        <v>keep</v>
      </c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1"/>
      <c r="AC16" s="61"/>
      <c r="AD16" s="61"/>
      <c r="AE16" s="61"/>
    </row>
    <row r="17" spans="1:31" ht="27" x14ac:dyDescent="0.35">
      <c r="A17" s="66" t="s">
        <v>25</v>
      </c>
      <c r="B17" s="66" t="s">
        <v>26</v>
      </c>
      <c r="C17" s="67">
        <v>8</v>
      </c>
      <c r="D17" s="67">
        <v>19</v>
      </c>
      <c r="E17" s="67">
        <v>90</v>
      </c>
      <c r="F17" s="67">
        <v>1</v>
      </c>
      <c r="G17" s="61"/>
      <c r="H17" s="68">
        <f t="shared" si="1"/>
        <v>0.8</v>
      </c>
      <c r="I17" s="68">
        <f t="shared" si="0"/>
        <v>0.95</v>
      </c>
      <c r="J17" s="68">
        <f t="shared" si="0"/>
        <v>0.9</v>
      </c>
      <c r="K17" s="69" t="str">
        <f t="shared" si="2"/>
        <v>PASS</v>
      </c>
      <c r="L17" s="61"/>
      <c r="M17" s="70" t="b">
        <f t="shared" si="3"/>
        <v>0</v>
      </c>
      <c r="N17" s="70" t="str">
        <f t="shared" si="4"/>
        <v>keep</v>
      </c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1"/>
      <c r="AC17" s="61"/>
      <c r="AD17" s="61"/>
      <c r="AE17" s="61"/>
    </row>
    <row r="18" spans="1:31" ht="27" x14ac:dyDescent="0.35">
      <c r="A18" s="66" t="s">
        <v>27</v>
      </c>
      <c r="B18" s="66" t="s">
        <v>28</v>
      </c>
      <c r="C18" s="67">
        <v>9</v>
      </c>
      <c r="D18" s="67">
        <v>19</v>
      </c>
      <c r="E18" s="67">
        <v>45</v>
      </c>
      <c r="F18" s="67">
        <v>1</v>
      </c>
      <c r="G18" s="61"/>
      <c r="H18" s="68">
        <f t="shared" si="1"/>
        <v>0.9</v>
      </c>
      <c r="I18" s="68">
        <f t="shared" si="0"/>
        <v>0.95</v>
      </c>
      <c r="J18" s="68">
        <f t="shared" si="0"/>
        <v>0.45</v>
      </c>
      <c r="K18" s="69" t="str">
        <f t="shared" si="2"/>
        <v>PASS</v>
      </c>
      <c r="L18" s="61"/>
      <c r="M18" s="70" t="b">
        <f t="shared" si="3"/>
        <v>1</v>
      </c>
      <c r="N18" s="70" t="str">
        <f t="shared" si="4"/>
        <v>fire</v>
      </c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1"/>
      <c r="AC18" s="61"/>
      <c r="AD18" s="61"/>
      <c r="AE18" s="61"/>
    </row>
    <row r="19" spans="1:31" ht="27" x14ac:dyDescent="0.35">
      <c r="A19" s="66" t="s">
        <v>29</v>
      </c>
      <c r="B19" s="66" t="s">
        <v>30</v>
      </c>
      <c r="C19" s="67">
        <v>7</v>
      </c>
      <c r="D19" s="67">
        <v>8</v>
      </c>
      <c r="E19" s="67">
        <v>90</v>
      </c>
      <c r="F19" s="67">
        <v>0</v>
      </c>
      <c r="G19" s="61"/>
      <c r="H19" s="68">
        <f t="shared" si="1"/>
        <v>0.7</v>
      </c>
      <c r="I19" s="68">
        <f t="shared" si="0"/>
        <v>0.4</v>
      </c>
      <c r="J19" s="68">
        <f t="shared" si="0"/>
        <v>0.9</v>
      </c>
      <c r="K19" s="69" t="str">
        <f t="shared" si="2"/>
        <v>FAIL</v>
      </c>
      <c r="L19" s="61"/>
      <c r="M19" s="70" t="b">
        <f t="shared" si="3"/>
        <v>1</v>
      </c>
      <c r="N19" s="70" t="str">
        <f t="shared" si="4"/>
        <v>fire</v>
      </c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1"/>
      <c r="AC19" s="61"/>
      <c r="AD19" s="61"/>
      <c r="AE19" s="61"/>
    </row>
    <row r="20" spans="1:31" ht="27" x14ac:dyDescent="0.35">
      <c r="A20" s="66" t="s">
        <v>31</v>
      </c>
      <c r="B20" s="66" t="s">
        <v>32</v>
      </c>
      <c r="C20" s="67">
        <v>10</v>
      </c>
      <c r="D20" s="67">
        <v>20</v>
      </c>
      <c r="E20" s="67">
        <v>80</v>
      </c>
      <c r="F20" s="67">
        <v>1</v>
      </c>
      <c r="G20" s="61"/>
      <c r="H20" s="68">
        <f t="shared" si="1"/>
        <v>1</v>
      </c>
      <c r="I20" s="68">
        <f t="shared" si="0"/>
        <v>1</v>
      </c>
      <c r="J20" s="68">
        <f t="shared" si="0"/>
        <v>0.8</v>
      </c>
      <c r="K20" s="69" t="str">
        <f t="shared" si="2"/>
        <v>PASS</v>
      </c>
      <c r="L20" s="61"/>
      <c r="M20" s="70" t="b">
        <f t="shared" si="3"/>
        <v>0</v>
      </c>
      <c r="N20" s="70" t="str">
        <f t="shared" si="4"/>
        <v>keep</v>
      </c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1"/>
      <c r="AC20" s="61"/>
      <c r="AD20" s="61"/>
      <c r="AE20" s="61"/>
    </row>
    <row r="21" spans="1:31" ht="27" x14ac:dyDescent="0.35">
      <c r="A21" s="66" t="s">
        <v>33</v>
      </c>
      <c r="B21" s="66" t="s">
        <v>34</v>
      </c>
      <c r="C21" s="67">
        <v>11</v>
      </c>
      <c r="D21" s="67">
        <v>20</v>
      </c>
      <c r="E21" s="67">
        <v>69</v>
      </c>
      <c r="F21" s="67">
        <v>1</v>
      </c>
      <c r="G21" s="61"/>
      <c r="H21" s="68">
        <f t="shared" si="1"/>
        <v>1.1000000000000001</v>
      </c>
      <c r="I21" s="68">
        <f t="shared" si="0"/>
        <v>1</v>
      </c>
      <c r="J21" s="68">
        <f t="shared" si="0"/>
        <v>0.69</v>
      </c>
      <c r="K21" s="69" t="str">
        <f t="shared" si="2"/>
        <v>PASS</v>
      </c>
      <c r="L21" s="61"/>
      <c r="M21" s="70" t="b">
        <f t="shared" si="3"/>
        <v>0</v>
      </c>
      <c r="N21" s="70" t="str">
        <f t="shared" si="4"/>
        <v>keep</v>
      </c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1"/>
      <c r="AC21" s="61"/>
      <c r="AD21" s="61"/>
      <c r="AE21" s="61"/>
    </row>
    <row r="22" spans="1:31" ht="27" x14ac:dyDescent="0.35">
      <c r="A22" s="66" t="s">
        <v>35</v>
      </c>
      <c r="B22" s="66" t="s">
        <v>36</v>
      </c>
      <c r="C22" s="67">
        <v>10</v>
      </c>
      <c r="D22" s="67">
        <v>14</v>
      </c>
      <c r="E22" s="67">
        <v>90</v>
      </c>
      <c r="F22" s="67">
        <v>1</v>
      </c>
      <c r="G22" s="61"/>
      <c r="H22" s="68">
        <f t="shared" si="1"/>
        <v>1</v>
      </c>
      <c r="I22" s="68">
        <f t="shared" ref="I22" si="5">D22/D$4</f>
        <v>0.7</v>
      </c>
      <c r="J22" s="68">
        <f t="shared" ref="J22" si="6">E22/E$4</f>
        <v>0.9</v>
      </c>
      <c r="K22" s="69" t="str">
        <f t="shared" si="2"/>
        <v>PASS</v>
      </c>
      <c r="L22" s="61"/>
      <c r="M22" s="70" t="b">
        <f t="shared" si="3"/>
        <v>0</v>
      </c>
      <c r="N22" s="70" t="str">
        <f t="shared" si="4"/>
        <v>keep</v>
      </c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1"/>
      <c r="AC22" s="61"/>
      <c r="AD22" s="61"/>
      <c r="AE22" s="61"/>
    </row>
    <row r="23" spans="1:31" ht="27" x14ac:dyDescent="0.3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1"/>
      <c r="AC23" s="61"/>
      <c r="AD23" s="61"/>
      <c r="AE23" s="61"/>
    </row>
    <row r="24" spans="1:31" ht="27" x14ac:dyDescent="0.35">
      <c r="A24" s="71" t="s">
        <v>99</v>
      </c>
      <c r="B24" s="71"/>
      <c r="C24" s="71">
        <f>MAX(C6:C22)</f>
        <v>11</v>
      </c>
      <c r="D24" s="71">
        <f t="shared" ref="D24:F24" si="7">MAX(D6:D22)</f>
        <v>20</v>
      </c>
      <c r="E24" s="71">
        <f t="shared" si="7"/>
        <v>100</v>
      </c>
      <c r="F24" s="71">
        <f t="shared" si="7"/>
        <v>1</v>
      </c>
      <c r="G24" s="71"/>
      <c r="H24" s="72">
        <f>MAX(H6:H22)</f>
        <v>1.1000000000000001</v>
      </c>
      <c r="I24" s="72">
        <f t="shared" ref="I24:K24" si="8">MAX(I6:I22)</f>
        <v>1</v>
      </c>
      <c r="J24" s="72">
        <f t="shared" si="8"/>
        <v>1</v>
      </c>
      <c r="K24" s="61"/>
      <c r="L24" s="73" t="s">
        <v>102</v>
      </c>
      <c r="M24" s="73">
        <f>COUNTIF(K6:K22,"PASS")</f>
        <v>14</v>
      </c>
      <c r="N24" s="61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1"/>
      <c r="AC24" s="61"/>
      <c r="AD24" s="61"/>
      <c r="AE24" s="61"/>
    </row>
    <row r="25" spans="1:31" ht="27" x14ac:dyDescent="0.35">
      <c r="A25" s="71" t="s">
        <v>100</v>
      </c>
      <c r="B25" s="71"/>
      <c r="C25" s="71">
        <f>MIN(C6:C22)</f>
        <v>5</v>
      </c>
      <c r="D25" s="71">
        <f t="shared" ref="D25:F25" si="9">MIN(D6:D22)</f>
        <v>6</v>
      </c>
      <c r="E25" s="71">
        <f t="shared" si="9"/>
        <v>45</v>
      </c>
      <c r="F25" s="71">
        <f t="shared" si="9"/>
        <v>0</v>
      </c>
      <c r="G25" s="71"/>
      <c r="H25" s="72">
        <f>MIN(H6:H22)</f>
        <v>0.5</v>
      </c>
      <c r="I25" s="72">
        <f t="shared" ref="I25:K25" si="10">MIN(I6:I22)</f>
        <v>0.3</v>
      </c>
      <c r="J25" s="72">
        <f t="shared" si="10"/>
        <v>0.45</v>
      </c>
      <c r="K25" s="61"/>
      <c r="L25" s="73" t="s">
        <v>103</v>
      </c>
      <c r="M25" s="73">
        <f>COUNTIF(K6:K22,"FAIL")</f>
        <v>3</v>
      </c>
      <c r="N25" s="61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1"/>
      <c r="AC25" s="61"/>
      <c r="AD25" s="61"/>
      <c r="AE25" s="61"/>
    </row>
    <row r="26" spans="1:31" ht="27" x14ac:dyDescent="0.35">
      <c r="A26" s="71" t="s">
        <v>101</v>
      </c>
      <c r="B26" s="71"/>
      <c r="C26" s="71">
        <f>AVERAGE(C6:C22)</f>
        <v>8.9411764705882355</v>
      </c>
      <c r="D26" s="71">
        <f t="shared" ref="D26:F26" si="11">AVERAGE(D6:D22)</f>
        <v>17.176470588235293</v>
      </c>
      <c r="E26" s="71">
        <f t="shared" si="11"/>
        <v>81.058823529411768</v>
      </c>
      <c r="F26" s="71">
        <f t="shared" si="11"/>
        <v>0.82352941176470584</v>
      </c>
      <c r="G26" s="71"/>
      <c r="H26" s="72">
        <f>AVERAGE(H6:H22)</f>
        <v>0.89411764705882346</v>
      </c>
      <c r="I26" s="72">
        <f t="shared" ref="I26:K26" si="12">AVERAGE(I6:I22)</f>
        <v>0.85882352941176454</v>
      </c>
      <c r="J26" s="72">
        <f t="shared" si="12"/>
        <v>0.81058823529411761</v>
      </c>
      <c r="K26" s="61"/>
      <c r="L26" s="61"/>
      <c r="M26" s="61"/>
      <c r="N26" s="61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1"/>
      <c r="AC26" s="61"/>
      <c r="AD26" s="61"/>
      <c r="AE26" s="61"/>
    </row>
    <row r="27" spans="1:31" ht="27" x14ac:dyDescent="0.35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</row>
    <row r="28" spans="1:31" ht="27" x14ac:dyDescent="0.35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</row>
    <row r="29" spans="1:31" ht="27" x14ac:dyDescent="0.35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</row>
    <row r="30" spans="1:31" ht="27" x14ac:dyDescent="0.3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</row>
  </sheetData>
  <conditionalFormatting sqref="K6:K22">
    <cfRule type="containsText" dxfId="4" priority="11" operator="containsText" text="FAIL">
      <formula>NOT(ISERROR(SEARCH("FAIL",K6)))</formula>
    </cfRule>
  </conditionalFormatting>
  <conditionalFormatting sqref="C6:C22"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6:D22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6:E22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6:F22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6:J22">
    <cfRule type="cellIs" dxfId="3" priority="6" operator="lessThan">
      <formula>0.5</formula>
    </cfRule>
  </conditionalFormatting>
  <conditionalFormatting sqref="M6:M22">
    <cfRule type="containsText" dxfId="2" priority="1" operator="containsText" text="TRUE">
      <formula>NOT(ISERROR(SEARCH("TRUE",M6)))</formula>
    </cfRule>
  </conditionalFormatting>
  <pageMargins left="0.7" right="0.7" top="0.75" bottom="0.75" header="0.3" footer="0.3"/>
  <pageSetup paperSize="9" scale="44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F2CF-B13D-6D48-9C19-08BF7C7246CD}">
  <dimension ref="A1:N10"/>
  <sheetViews>
    <sheetView workbookViewId="0">
      <selection activeCell="N10" sqref="A1:N10"/>
    </sheetView>
  </sheetViews>
  <sheetFormatPr baseColWidth="10" defaultRowHeight="16" x14ac:dyDescent="0.2"/>
  <cols>
    <col min="1" max="1" width="32.5" bestFit="1" customWidth="1"/>
  </cols>
  <sheetData>
    <row r="1" spans="1:14" ht="27" x14ac:dyDescent="0.35">
      <c r="A1" s="76" t="s">
        <v>104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4" ht="27" x14ac:dyDescent="0.3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1:14" ht="27" x14ac:dyDescent="0.35">
      <c r="A3" s="77" t="s">
        <v>105</v>
      </c>
      <c r="B3" s="77" t="s">
        <v>38</v>
      </c>
      <c r="C3" s="77">
        <v>3</v>
      </c>
      <c r="D3" s="77" t="s">
        <v>110</v>
      </c>
      <c r="E3" s="77">
        <v>5</v>
      </c>
      <c r="F3" s="77" t="s">
        <v>111</v>
      </c>
      <c r="G3" s="77">
        <v>4</v>
      </c>
      <c r="H3" s="77" t="s">
        <v>112</v>
      </c>
      <c r="I3" s="77">
        <v>3</v>
      </c>
      <c r="J3" s="77" t="s">
        <v>113</v>
      </c>
      <c r="K3" s="77">
        <v>1</v>
      </c>
      <c r="L3" s="77" t="s">
        <v>364</v>
      </c>
      <c r="M3" s="76"/>
      <c r="N3" s="76"/>
    </row>
    <row r="4" spans="1:14" ht="27" x14ac:dyDescent="0.35">
      <c r="A4" s="78" t="s">
        <v>106</v>
      </c>
      <c r="B4" s="79">
        <v>1</v>
      </c>
      <c r="C4" s="79">
        <f>C$3*B4</f>
        <v>3</v>
      </c>
      <c r="D4" s="80">
        <v>5</v>
      </c>
      <c r="E4" s="80">
        <f>E$3*D4</f>
        <v>25</v>
      </c>
      <c r="F4" s="81">
        <v>1</v>
      </c>
      <c r="G4" s="81">
        <f>G$3*F4</f>
        <v>4</v>
      </c>
      <c r="H4" s="82">
        <v>4</v>
      </c>
      <c r="I4" s="82">
        <f>I$3*H4</f>
        <v>12</v>
      </c>
      <c r="J4" s="83">
        <v>5</v>
      </c>
      <c r="K4" s="83">
        <f>K$3*J4</f>
        <v>5</v>
      </c>
      <c r="L4" s="84">
        <f>SUM(C4,E4,G4,I4,K4)</f>
        <v>49</v>
      </c>
      <c r="M4" s="76"/>
      <c r="N4" s="76"/>
    </row>
    <row r="5" spans="1:14" ht="27" x14ac:dyDescent="0.35">
      <c r="A5" s="78" t="s">
        <v>107</v>
      </c>
      <c r="B5" s="79">
        <v>4</v>
      </c>
      <c r="C5" s="79">
        <f t="shared" ref="C5:E8" si="0">C$3*B5</f>
        <v>12</v>
      </c>
      <c r="D5" s="80">
        <v>4</v>
      </c>
      <c r="E5" s="80">
        <f t="shared" ref="E5" si="1">E$3*D5</f>
        <v>20</v>
      </c>
      <c r="F5" s="81">
        <v>3</v>
      </c>
      <c r="G5" s="81">
        <f t="shared" ref="G5" si="2">G$3*F5</f>
        <v>12</v>
      </c>
      <c r="H5" s="82">
        <v>2</v>
      </c>
      <c r="I5" s="82">
        <f t="shared" ref="I5" si="3">I$3*H5</f>
        <v>6</v>
      </c>
      <c r="J5" s="83">
        <v>1</v>
      </c>
      <c r="K5" s="83">
        <f>K$3*J5</f>
        <v>1</v>
      </c>
      <c r="L5" s="84">
        <f t="shared" ref="L5:L8" si="4">SUM(C5,E5,G5,I5,K5)</f>
        <v>51</v>
      </c>
      <c r="M5" s="76"/>
      <c r="N5" s="76"/>
    </row>
    <row r="6" spans="1:14" ht="27" x14ac:dyDescent="0.35">
      <c r="A6" s="78" t="s">
        <v>114</v>
      </c>
      <c r="B6" s="79">
        <v>5</v>
      </c>
      <c r="C6" s="79">
        <f t="shared" si="0"/>
        <v>15</v>
      </c>
      <c r="D6" s="80">
        <v>1</v>
      </c>
      <c r="E6" s="80">
        <f t="shared" ref="E6" si="5">E$3*D6</f>
        <v>5</v>
      </c>
      <c r="F6" s="81">
        <v>5</v>
      </c>
      <c r="G6" s="81">
        <f t="shared" ref="G6" si="6">G$3*F6</f>
        <v>20</v>
      </c>
      <c r="H6" s="82">
        <v>3</v>
      </c>
      <c r="I6" s="82">
        <f t="shared" ref="I6" si="7">I$3*H6</f>
        <v>9</v>
      </c>
      <c r="J6" s="83">
        <v>3</v>
      </c>
      <c r="K6" s="83">
        <f>K$3*J6</f>
        <v>3</v>
      </c>
      <c r="L6" s="84">
        <f t="shared" si="4"/>
        <v>52</v>
      </c>
      <c r="M6" s="76"/>
      <c r="N6" s="76"/>
    </row>
    <row r="7" spans="1:14" ht="27" x14ac:dyDescent="0.35">
      <c r="A7" s="78" t="s">
        <v>108</v>
      </c>
      <c r="B7" s="79">
        <v>3</v>
      </c>
      <c r="C7" s="79">
        <f t="shared" si="0"/>
        <v>9</v>
      </c>
      <c r="D7" s="80">
        <v>5</v>
      </c>
      <c r="E7" s="80">
        <f t="shared" ref="E7" si="8">E$3*D7</f>
        <v>25</v>
      </c>
      <c r="F7" s="81">
        <v>4</v>
      </c>
      <c r="G7" s="81">
        <f t="shared" ref="G7" si="9">G$3*F7</f>
        <v>16</v>
      </c>
      <c r="H7" s="82">
        <v>4</v>
      </c>
      <c r="I7" s="82">
        <f t="shared" ref="I7" si="10">I$3*H7</f>
        <v>12</v>
      </c>
      <c r="J7" s="83">
        <v>3</v>
      </c>
      <c r="K7" s="83">
        <f>K$3*J7</f>
        <v>3</v>
      </c>
      <c r="L7" s="84">
        <f t="shared" si="4"/>
        <v>65</v>
      </c>
      <c r="M7" s="76"/>
      <c r="N7" s="76"/>
    </row>
    <row r="8" spans="1:14" ht="27" x14ac:dyDescent="0.35">
      <c r="A8" s="78" t="s">
        <v>109</v>
      </c>
      <c r="B8" s="79">
        <v>3</v>
      </c>
      <c r="C8" s="79">
        <f t="shared" si="0"/>
        <v>9</v>
      </c>
      <c r="D8" s="80">
        <v>5</v>
      </c>
      <c r="E8" s="80">
        <f t="shared" ref="E8" si="11">E$3*D8</f>
        <v>25</v>
      </c>
      <c r="F8" s="81">
        <v>2</v>
      </c>
      <c r="G8" s="81">
        <f t="shared" ref="G8" si="12">G$3*F8</f>
        <v>8</v>
      </c>
      <c r="H8" s="82">
        <v>2</v>
      </c>
      <c r="I8" s="82">
        <f t="shared" ref="I8" si="13">I$3*H8</f>
        <v>6</v>
      </c>
      <c r="J8" s="83">
        <v>5</v>
      </c>
      <c r="K8" s="83">
        <f>K$3*J8</f>
        <v>5</v>
      </c>
      <c r="L8" s="84">
        <f t="shared" si="4"/>
        <v>53</v>
      </c>
      <c r="M8" s="76"/>
      <c r="N8" s="76"/>
    </row>
    <row r="9" spans="1:14" ht="27" x14ac:dyDescent="0.35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</row>
    <row r="10" spans="1:14" ht="27" x14ac:dyDescent="0.35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</sheetData>
  <conditionalFormatting sqref="L4:L8">
    <cfRule type="top10" dxfId="1" priority="1" percent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8818-9692-DA47-9D9A-2883DE674179}">
  <dimension ref="A1:M248"/>
  <sheetViews>
    <sheetView workbookViewId="0">
      <selection activeCell="O14" sqref="O14"/>
    </sheetView>
  </sheetViews>
  <sheetFormatPr baseColWidth="10" defaultRowHeight="16" x14ac:dyDescent="0.2"/>
  <cols>
    <col min="1" max="1" width="6.33203125" bestFit="1" customWidth="1"/>
    <col min="2" max="2" width="12" style="53" bestFit="1" customWidth="1"/>
    <col min="3" max="3" width="12.1640625" style="53" bestFit="1" customWidth="1"/>
    <col min="4" max="4" width="17.5" style="53" bestFit="1" customWidth="1"/>
    <col min="5" max="5" width="9.6640625" style="24" bestFit="1" customWidth="1"/>
    <col min="6" max="6" width="10.1640625" style="24" bestFit="1" customWidth="1"/>
    <col min="7" max="7" width="7.6640625" style="24" bestFit="1" customWidth="1"/>
    <col min="8" max="8" width="15" style="24" bestFit="1" customWidth="1"/>
    <col min="9" max="9" width="13" bestFit="1" customWidth="1"/>
    <col min="10" max="10" width="13" customWidth="1"/>
    <col min="11" max="11" width="12" style="53" bestFit="1" customWidth="1"/>
  </cols>
  <sheetData>
    <row r="1" spans="1:13" ht="22" x14ac:dyDescent="0.3">
      <c r="A1" s="51" t="s">
        <v>303</v>
      </c>
      <c r="B1" s="52"/>
      <c r="C1" s="52"/>
      <c r="E1" s="22"/>
      <c r="F1"/>
      <c r="G1"/>
      <c r="H1"/>
    </row>
    <row r="2" spans="1:13" x14ac:dyDescent="0.2">
      <c r="E2"/>
      <c r="F2"/>
      <c r="G2"/>
      <c r="H2"/>
    </row>
    <row r="3" spans="1:13" ht="85" x14ac:dyDescent="0.2">
      <c r="A3" s="50" t="s">
        <v>115</v>
      </c>
      <c r="B3" s="54" t="s">
        <v>116</v>
      </c>
      <c r="C3" s="54" t="s">
        <v>117</v>
      </c>
      <c r="D3" s="54" t="s">
        <v>118</v>
      </c>
      <c r="E3" s="50" t="s">
        <v>119</v>
      </c>
      <c r="F3" s="50" t="s">
        <v>120</v>
      </c>
      <c r="G3" s="50" t="s">
        <v>121</v>
      </c>
      <c r="H3" s="50" t="s">
        <v>149</v>
      </c>
      <c r="I3" s="50" t="s">
        <v>157</v>
      </c>
      <c r="J3" s="50" t="s">
        <v>156</v>
      </c>
      <c r="K3" s="54" t="s">
        <v>122</v>
      </c>
    </row>
    <row r="4" spans="1:13" x14ac:dyDescent="0.2">
      <c r="A4" s="20" t="s">
        <v>123</v>
      </c>
      <c r="B4" s="55">
        <v>1007</v>
      </c>
      <c r="C4" s="56">
        <v>8722</v>
      </c>
      <c r="D4" s="56" t="s">
        <v>134</v>
      </c>
      <c r="E4" s="49">
        <v>344</v>
      </c>
      <c r="F4" s="49">
        <v>502</v>
      </c>
      <c r="G4" s="49">
        <f>F4-E4</f>
        <v>158</v>
      </c>
      <c r="H4" s="49">
        <f>IF(F4&gt;50,G4*0.2,G4*0.1)</f>
        <v>31.6</v>
      </c>
      <c r="I4" s="13" t="s">
        <v>153</v>
      </c>
      <c r="J4" s="13" t="s">
        <v>154</v>
      </c>
      <c r="K4" s="59" t="s">
        <v>132</v>
      </c>
      <c r="M4" s="22"/>
    </row>
    <row r="5" spans="1:13" x14ac:dyDescent="0.2">
      <c r="A5" s="20" t="s">
        <v>123</v>
      </c>
      <c r="B5" s="55">
        <v>1019</v>
      </c>
      <c r="C5" s="56">
        <v>2242</v>
      </c>
      <c r="D5" s="56" t="s">
        <v>137</v>
      </c>
      <c r="E5" s="49">
        <v>60</v>
      </c>
      <c r="F5" s="49">
        <v>124</v>
      </c>
      <c r="G5" s="49">
        <f>F5-E5</f>
        <v>64</v>
      </c>
      <c r="H5" s="49">
        <f>IF(F5&gt;50,G5*0.2,G5*0.1)</f>
        <v>12.8</v>
      </c>
      <c r="I5" s="13" t="s">
        <v>153</v>
      </c>
      <c r="J5" s="13" t="s">
        <v>154</v>
      </c>
      <c r="K5" s="59" t="s">
        <v>127</v>
      </c>
      <c r="M5" s="23"/>
    </row>
    <row r="6" spans="1:13" x14ac:dyDescent="0.2">
      <c r="A6" s="20" t="s">
        <v>138</v>
      </c>
      <c r="B6" s="55">
        <v>1003</v>
      </c>
      <c r="C6" s="56">
        <v>9121</v>
      </c>
      <c r="D6" s="56" t="s">
        <v>130</v>
      </c>
      <c r="E6" s="49">
        <v>4</v>
      </c>
      <c r="F6" s="49">
        <v>7</v>
      </c>
      <c r="G6" s="49">
        <f>F6-E6</f>
        <v>3</v>
      </c>
      <c r="H6" s="49">
        <f>IF(F6&gt;50,G6*0.2,G6*0.1)</f>
        <v>0.30000000000000004</v>
      </c>
      <c r="I6" s="13" t="s">
        <v>153</v>
      </c>
      <c r="J6" s="13" t="s">
        <v>154</v>
      </c>
      <c r="K6" s="59" t="s">
        <v>125</v>
      </c>
    </row>
    <row r="7" spans="1:13" x14ac:dyDescent="0.2">
      <c r="A7" s="20" t="s">
        <v>138</v>
      </c>
      <c r="B7" s="55">
        <v>1005</v>
      </c>
      <c r="C7" s="56">
        <v>9121</v>
      </c>
      <c r="D7" s="56" t="s">
        <v>130</v>
      </c>
      <c r="E7" s="49">
        <v>4</v>
      </c>
      <c r="F7" s="49">
        <v>7</v>
      </c>
      <c r="G7" s="49">
        <f>F7-E7</f>
        <v>3</v>
      </c>
      <c r="H7" s="49">
        <f>IF(F7&gt;50,G7*0.2,G7*0.1)</f>
        <v>0.30000000000000004</v>
      </c>
      <c r="I7" s="13" t="s">
        <v>153</v>
      </c>
      <c r="J7" s="13" t="s">
        <v>154</v>
      </c>
      <c r="K7" s="59" t="s">
        <v>132</v>
      </c>
    </row>
    <row r="8" spans="1:13" x14ac:dyDescent="0.2">
      <c r="A8" s="20" t="s">
        <v>138</v>
      </c>
      <c r="B8" s="55">
        <v>1016</v>
      </c>
      <c r="C8" s="56">
        <v>9822</v>
      </c>
      <c r="D8" s="56" t="s">
        <v>131</v>
      </c>
      <c r="E8" s="49">
        <v>58.3</v>
      </c>
      <c r="F8" s="49">
        <v>98.4</v>
      </c>
      <c r="G8" s="49">
        <f>F8-E8</f>
        <v>40.100000000000009</v>
      </c>
      <c r="H8" s="49">
        <f>IF(F8&gt;50,G8*0.2,G8*0.1)</f>
        <v>8.0200000000000014</v>
      </c>
      <c r="I8" s="13" t="s">
        <v>153</v>
      </c>
      <c r="J8" s="13" t="s">
        <v>154</v>
      </c>
      <c r="K8" s="59" t="s">
        <v>125</v>
      </c>
    </row>
    <row r="9" spans="1:13" x14ac:dyDescent="0.2">
      <c r="A9" s="20" t="s">
        <v>138</v>
      </c>
      <c r="B9" s="55">
        <v>1019</v>
      </c>
      <c r="C9" s="56">
        <v>2877</v>
      </c>
      <c r="D9" s="56" t="s">
        <v>136</v>
      </c>
      <c r="E9" s="49">
        <v>11.4</v>
      </c>
      <c r="F9" s="49">
        <v>16.3</v>
      </c>
      <c r="G9" s="49">
        <f>F9-E9</f>
        <v>4.9000000000000004</v>
      </c>
      <c r="H9" s="49">
        <f>IF(F9&gt;50,G9*0.2,G9*0.1)</f>
        <v>0.49000000000000005</v>
      </c>
      <c r="I9" s="13" t="s">
        <v>153</v>
      </c>
      <c r="J9" s="13" t="s">
        <v>154</v>
      </c>
      <c r="K9" s="59" t="s">
        <v>127</v>
      </c>
    </row>
    <row r="10" spans="1:13" x14ac:dyDescent="0.2">
      <c r="A10" s="20" t="s">
        <v>139</v>
      </c>
      <c r="B10" s="55">
        <v>1002</v>
      </c>
      <c r="C10" s="56">
        <v>9822</v>
      </c>
      <c r="D10" s="56" t="s">
        <v>131</v>
      </c>
      <c r="E10" s="49">
        <v>58.3</v>
      </c>
      <c r="F10" s="49">
        <v>98.4</v>
      </c>
      <c r="G10" s="49">
        <f>F10-E10</f>
        <v>40.100000000000009</v>
      </c>
      <c r="H10" s="49">
        <f>IF(F10&gt;50,G10*0.2,G10*0.1)</f>
        <v>8.0200000000000014</v>
      </c>
      <c r="I10" s="13" t="s">
        <v>153</v>
      </c>
      <c r="J10" s="13" t="s">
        <v>154</v>
      </c>
      <c r="K10" s="59" t="s">
        <v>132</v>
      </c>
    </row>
    <row r="11" spans="1:13" x14ac:dyDescent="0.2">
      <c r="A11" s="20" t="s">
        <v>139</v>
      </c>
      <c r="B11" s="55">
        <v>1010</v>
      </c>
      <c r="C11" s="56">
        <v>2499</v>
      </c>
      <c r="D11" s="56" t="s">
        <v>124</v>
      </c>
      <c r="E11" s="49">
        <v>6.2</v>
      </c>
      <c r="F11" s="49">
        <v>9.1999999999999993</v>
      </c>
      <c r="G11" s="49">
        <f>F11-E11</f>
        <v>2.9999999999999991</v>
      </c>
      <c r="H11" s="49">
        <f>IF(F11&gt;50,G11*0.2,G11*0.1)</f>
        <v>0.29999999999999993</v>
      </c>
      <c r="I11" s="13" t="s">
        <v>153</v>
      </c>
      <c r="J11" s="13" t="s">
        <v>154</v>
      </c>
      <c r="K11" s="59" t="s">
        <v>133</v>
      </c>
    </row>
    <row r="12" spans="1:13" x14ac:dyDescent="0.2">
      <c r="A12" s="20" t="s">
        <v>138</v>
      </c>
      <c r="B12" s="55">
        <v>1006</v>
      </c>
      <c r="C12" s="56">
        <v>8722</v>
      </c>
      <c r="D12" s="56" t="s">
        <v>134</v>
      </c>
      <c r="E12" s="49">
        <v>344</v>
      </c>
      <c r="F12" s="49">
        <v>502</v>
      </c>
      <c r="G12" s="49">
        <f>F12-E12</f>
        <v>158</v>
      </c>
      <c r="H12" s="49">
        <f>IF(F12&gt;50,G12*0.2,G12*0.1)</f>
        <v>31.6</v>
      </c>
      <c r="I12" s="13" t="s">
        <v>151</v>
      </c>
      <c r="J12" s="13" t="s">
        <v>152</v>
      </c>
      <c r="K12" s="59" t="s">
        <v>129</v>
      </c>
    </row>
    <row r="13" spans="1:13" x14ac:dyDescent="0.2">
      <c r="A13" s="20" t="s">
        <v>143</v>
      </c>
      <c r="B13" s="55">
        <v>1003</v>
      </c>
      <c r="C13" s="56">
        <v>8722</v>
      </c>
      <c r="D13" s="56" t="s">
        <v>134</v>
      </c>
      <c r="E13" s="49">
        <v>344</v>
      </c>
      <c r="F13" s="49">
        <v>502</v>
      </c>
      <c r="G13" s="49">
        <f>F13-E13</f>
        <v>158</v>
      </c>
      <c r="H13" s="49">
        <f>IF(F13&gt;50,G13*0.2,G13*0.1)</f>
        <v>31.6</v>
      </c>
      <c r="I13" s="13" t="s">
        <v>155</v>
      </c>
      <c r="J13" s="13" t="s">
        <v>50</v>
      </c>
      <c r="K13" s="59" t="s">
        <v>129</v>
      </c>
    </row>
    <row r="14" spans="1:13" x14ac:dyDescent="0.2">
      <c r="A14" s="20" t="s">
        <v>148</v>
      </c>
      <c r="B14" s="55">
        <v>1011</v>
      </c>
      <c r="C14" s="56">
        <v>8722</v>
      </c>
      <c r="D14" s="56" t="s">
        <v>134</v>
      </c>
      <c r="E14" s="49">
        <v>344</v>
      </c>
      <c r="F14" s="49">
        <v>502</v>
      </c>
      <c r="G14" s="49">
        <f>F14-E14</f>
        <v>158</v>
      </c>
      <c r="H14" s="49">
        <f>IF(F14&gt;50,G14*0.2,G14*0.1)</f>
        <v>31.6</v>
      </c>
      <c r="I14" s="13" t="s">
        <v>150</v>
      </c>
      <c r="J14" s="13" t="s">
        <v>11</v>
      </c>
      <c r="K14" s="59" t="s">
        <v>129</v>
      </c>
      <c r="M14" s="25"/>
    </row>
    <row r="15" spans="1:13" x14ac:dyDescent="0.2">
      <c r="A15" s="20" t="s">
        <v>140</v>
      </c>
      <c r="B15" s="55">
        <v>1012</v>
      </c>
      <c r="C15" s="56">
        <v>1109</v>
      </c>
      <c r="D15" s="56" t="s">
        <v>126</v>
      </c>
      <c r="E15" s="49">
        <v>3</v>
      </c>
      <c r="F15" s="49">
        <v>8</v>
      </c>
      <c r="G15" s="49">
        <f>F15-E15</f>
        <v>5</v>
      </c>
      <c r="H15" s="49">
        <f>IF(F15&gt;50,G15*0.2,G15*0.1)</f>
        <v>0.5</v>
      </c>
      <c r="I15" s="13" t="s">
        <v>153</v>
      </c>
      <c r="J15" s="13" t="s">
        <v>154</v>
      </c>
      <c r="K15" s="59" t="s">
        <v>125</v>
      </c>
    </row>
    <row r="16" spans="1:13" x14ac:dyDescent="0.2">
      <c r="A16" s="20" t="s">
        <v>140</v>
      </c>
      <c r="B16" s="55">
        <v>1013</v>
      </c>
      <c r="C16" s="56">
        <v>2242</v>
      </c>
      <c r="D16" s="56" t="s">
        <v>137</v>
      </c>
      <c r="E16" s="49">
        <v>60</v>
      </c>
      <c r="F16" s="49">
        <v>124</v>
      </c>
      <c r="G16" s="49">
        <f>F16-E16</f>
        <v>64</v>
      </c>
      <c r="H16" s="49">
        <f>IF(F16&gt;50,G16*0.2,G16*0.1)</f>
        <v>12.8</v>
      </c>
      <c r="I16" s="13" t="s">
        <v>153</v>
      </c>
      <c r="J16" s="13" t="s">
        <v>154</v>
      </c>
      <c r="K16" s="59" t="s">
        <v>132</v>
      </c>
    </row>
    <row r="17" spans="1:11" x14ac:dyDescent="0.2">
      <c r="A17" s="20" t="s">
        <v>140</v>
      </c>
      <c r="B17" s="55">
        <v>1015</v>
      </c>
      <c r="C17" s="56">
        <v>9121</v>
      </c>
      <c r="D17" s="56" t="s">
        <v>130</v>
      </c>
      <c r="E17" s="49">
        <v>4</v>
      </c>
      <c r="F17" s="49">
        <v>7</v>
      </c>
      <c r="G17" s="49">
        <f>F17-E17</f>
        <v>3</v>
      </c>
      <c r="H17" s="49">
        <f>IF(F17&gt;50,G17*0.2,G17*0.1)</f>
        <v>0.30000000000000004</v>
      </c>
      <c r="I17" s="13" t="s">
        <v>153</v>
      </c>
      <c r="J17" s="13" t="s">
        <v>154</v>
      </c>
      <c r="K17" s="59" t="s">
        <v>135</v>
      </c>
    </row>
    <row r="18" spans="1:11" x14ac:dyDescent="0.2">
      <c r="A18" s="20" t="s">
        <v>140</v>
      </c>
      <c r="B18" s="55">
        <v>1017</v>
      </c>
      <c r="C18" s="56">
        <v>2877</v>
      </c>
      <c r="D18" s="56" t="s">
        <v>136</v>
      </c>
      <c r="E18" s="49">
        <v>11.4</v>
      </c>
      <c r="F18" s="49">
        <v>16.3</v>
      </c>
      <c r="G18" s="49">
        <f>F18-E18</f>
        <v>4.9000000000000004</v>
      </c>
      <c r="H18" s="49">
        <f>IF(F18&gt;50,G18*0.2,G18*0.1)</f>
        <v>0.49000000000000005</v>
      </c>
      <c r="I18" s="13" t="s">
        <v>153</v>
      </c>
      <c r="J18" s="13" t="s">
        <v>154</v>
      </c>
      <c r="K18" s="59" t="s">
        <v>133</v>
      </c>
    </row>
    <row r="19" spans="1:11" x14ac:dyDescent="0.2">
      <c r="A19" s="20" t="s">
        <v>147</v>
      </c>
      <c r="B19" s="55">
        <v>1018</v>
      </c>
      <c r="C19" s="56">
        <v>2242</v>
      </c>
      <c r="D19" s="56" t="s">
        <v>137</v>
      </c>
      <c r="E19" s="49">
        <v>60</v>
      </c>
      <c r="F19" s="49">
        <v>124</v>
      </c>
      <c r="G19" s="49">
        <f>F19-E19</f>
        <v>64</v>
      </c>
      <c r="H19" s="49">
        <f>IF(F19&gt;50,G19*0.2,G19*0.1)</f>
        <v>12.8</v>
      </c>
      <c r="I19" s="13" t="s">
        <v>153</v>
      </c>
      <c r="J19" s="13" t="s">
        <v>154</v>
      </c>
      <c r="K19" s="59" t="s">
        <v>129</v>
      </c>
    </row>
    <row r="20" spans="1:11" x14ac:dyDescent="0.2">
      <c r="A20" s="20" t="s">
        <v>141</v>
      </c>
      <c r="B20" s="55">
        <v>1005</v>
      </c>
      <c r="C20" s="56">
        <v>1109</v>
      </c>
      <c r="D20" s="56" t="s">
        <v>126</v>
      </c>
      <c r="E20" s="49">
        <v>3</v>
      </c>
      <c r="F20" s="49">
        <v>8</v>
      </c>
      <c r="G20" s="49">
        <f>F20-E20</f>
        <v>5</v>
      </c>
      <c r="H20" s="49">
        <f>IF(F20&gt;50,G20*0.2,G20*0.1)</f>
        <v>0.5</v>
      </c>
      <c r="I20" s="13" t="s">
        <v>153</v>
      </c>
      <c r="J20" s="13" t="s">
        <v>154</v>
      </c>
      <c r="K20" s="59" t="s">
        <v>133</v>
      </c>
    </row>
    <row r="21" spans="1:11" x14ac:dyDescent="0.2">
      <c r="A21" s="20" t="s">
        <v>141</v>
      </c>
      <c r="B21" s="55">
        <v>1008</v>
      </c>
      <c r="C21" s="56">
        <v>2877</v>
      </c>
      <c r="D21" s="56" t="s">
        <v>136</v>
      </c>
      <c r="E21" s="49">
        <v>11.4</v>
      </c>
      <c r="F21" s="49">
        <v>16.3</v>
      </c>
      <c r="G21" s="49">
        <f>F21-E21</f>
        <v>4.9000000000000004</v>
      </c>
      <c r="H21" s="49">
        <f>IF(F21&gt;50,G21*0.2,G21*0.1)</f>
        <v>0.49000000000000005</v>
      </c>
      <c r="I21" s="13" t="s">
        <v>153</v>
      </c>
      <c r="J21" s="13" t="s">
        <v>154</v>
      </c>
      <c r="K21" s="59" t="s">
        <v>135</v>
      </c>
    </row>
    <row r="22" spans="1:11" x14ac:dyDescent="0.2">
      <c r="A22" s="20" t="s">
        <v>141</v>
      </c>
      <c r="B22" s="55">
        <v>1013</v>
      </c>
      <c r="C22" s="56">
        <v>2877</v>
      </c>
      <c r="D22" s="56" t="s">
        <v>136</v>
      </c>
      <c r="E22" s="49">
        <v>11.4</v>
      </c>
      <c r="F22" s="49">
        <v>16.3</v>
      </c>
      <c r="G22" s="49">
        <f>F22-E22</f>
        <v>4.9000000000000004</v>
      </c>
      <c r="H22" s="49">
        <f>IF(F22&gt;50,G22*0.2,G22*0.1)</f>
        <v>0.49000000000000005</v>
      </c>
      <c r="I22" s="13" t="s">
        <v>153</v>
      </c>
      <c r="J22" s="13" t="s">
        <v>154</v>
      </c>
      <c r="K22" s="59" t="s">
        <v>132</v>
      </c>
    </row>
    <row r="23" spans="1:11" x14ac:dyDescent="0.2">
      <c r="A23" s="20" t="s">
        <v>141</v>
      </c>
      <c r="B23" s="55">
        <v>1016</v>
      </c>
      <c r="C23" s="56">
        <v>9121</v>
      </c>
      <c r="D23" s="56" t="s">
        <v>130</v>
      </c>
      <c r="E23" s="49">
        <v>4</v>
      </c>
      <c r="F23" s="49">
        <v>7</v>
      </c>
      <c r="G23" s="49">
        <f>F23-E23</f>
        <v>3</v>
      </c>
      <c r="H23" s="49">
        <f>IF(F23&gt;50,G23*0.2,G23*0.1)</f>
        <v>0.30000000000000004</v>
      </c>
      <c r="I23" s="13" t="s">
        <v>153</v>
      </c>
      <c r="J23" s="13" t="s">
        <v>154</v>
      </c>
      <c r="K23" s="59" t="s">
        <v>132</v>
      </c>
    </row>
    <row r="24" spans="1:11" x14ac:dyDescent="0.2">
      <c r="A24" s="20" t="s">
        <v>142</v>
      </c>
      <c r="B24" s="55">
        <v>1008</v>
      </c>
      <c r="C24" s="56">
        <v>2242</v>
      </c>
      <c r="D24" s="56" t="s">
        <v>137</v>
      </c>
      <c r="E24" s="49">
        <v>60</v>
      </c>
      <c r="F24" s="49">
        <v>124</v>
      </c>
      <c r="G24" s="49">
        <f>F24-E24</f>
        <v>64</v>
      </c>
      <c r="H24" s="49">
        <f>IF(F24&gt;50,G24*0.2,G24*0.1)</f>
        <v>12.8</v>
      </c>
      <c r="I24" s="13" t="s">
        <v>153</v>
      </c>
      <c r="J24" s="13" t="s">
        <v>154</v>
      </c>
      <c r="K24" s="59" t="s">
        <v>125</v>
      </c>
    </row>
    <row r="25" spans="1:11" x14ac:dyDescent="0.2">
      <c r="A25" s="20" t="s">
        <v>142</v>
      </c>
      <c r="B25" s="55">
        <v>1017</v>
      </c>
      <c r="C25" s="56">
        <v>9822</v>
      </c>
      <c r="D25" s="56" t="s">
        <v>131</v>
      </c>
      <c r="E25" s="49">
        <v>58.3</v>
      </c>
      <c r="F25" s="49">
        <v>98.4</v>
      </c>
      <c r="G25" s="49">
        <f>F25-E25</f>
        <v>40.100000000000009</v>
      </c>
      <c r="H25" s="49">
        <f>IF(F25&gt;50,G25*0.2,G25*0.1)</f>
        <v>8.0200000000000014</v>
      </c>
      <c r="I25" s="13" t="s">
        <v>153</v>
      </c>
      <c r="J25" s="13" t="s">
        <v>154</v>
      </c>
      <c r="K25" s="59" t="s">
        <v>125</v>
      </c>
    </row>
    <row r="26" spans="1:11" x14ac:dyDescent="0.2">
      <c r="A26" s="20" t="s">
        <v>142</v>
      </c>
      <c r="B26" s="55">
        <v>1020</v>
      </c>
      <c r="C26" s="56">
        <v>9121</v>
      </c>
      <c r="D26" s="56" t="s">
        <v>130</v>
      </c>
      <c r="E26" s="49">
        <v>4</v>
      </c>
      <c r="F26" s="49">
        <v>7</v>
      </c>
      <c r="G26" s="49">
        <f>F26-E26</f>
        <v>3</v>
      </c>
      <c r="H26" s="49">
        <f>IF(F26&gt;50,G26*0.2,G26*0.1)</f>
        <v>0.30000000000000004</v>
      </c>
      <c r="I26" s="13" t="s">
        <v>153</v>
      </c>
      <c r="J26" s="13" t="s">
        <v>154</v>
      </c>
      <c r="K26" s="59" t="s">
        <v>135</v>
      </c>
    </row>
    <row r="27" spans="1:11" x14ac:dyDescent="0.2">
      <c r="A27" s="20" t="s">
        <v>143</v>
      </c>
      <c r="B27" s="55">
        <v>1002</v>
      </c>
      <c r="C27" s="56">
        <v>9121</v>
      </c>
      <c r="D27" s="56" t="s">
        <v>130</v>
      </c>
      <c r="E27" s="49">
        <v>4</v>
      </c>
      <c r="F27" s="49">
        <v>7</v>
      </c>
      <c r="G27" s="49">
        <f>F27-E27</f>
        <v>3</v>
      </c>
      <c r="H27" s="49">
        <f>IF(F27&gt;50,G27*0.2,G27*0.1)</f>
        <v>0.30000000000000004</v>
      </c>
      <c r="I27" s="13" t="s">
        <v>153</v>
      </c>
      <c r="J27" s="13" t="s">
        <v>154</v>
      </c>
      <c r="K27" s="59" t="s">
        <v>132</v>
      </c>
    </row>
    <row r="28" spans="1:11" x14ac:dyDescent="0.2">
      <c r="A28" s="20" t="s">
        <v>143</v>
      </c>
      <c r="B28" s="55">
        <v>1011</v>
      </c>
      <c r="C28" s="56">
        <v>8722</v>
      </c>
      <c r="D28" s="56" t="s">
        <v>134</v>
      </c>
      <c r="E28" s="49">
        <v>344</v>
      </c>
      <c r="F28" s="49">
        <v>502</v>
      </c>
      <c r="G28" s="49">
        <f>F28-E28</f>
        <v>158</v>
      </c>
      <c r="H28" s="49">
        <f>IF(F28&gt;50,G28*0.2,G28*0.1)</f>
        <v>31.6</v>
      </c>
      <c r="I28" s="13" t="s">
        <v>153</v>
      </c>
      <c r="J28" s="13" t="s">
        <v>154</v>
      </c>
      <c r="K28" s="59" t="s">
        <v>127</v>
      </c>
    </row>
    <row r="29" spans="1:11" x14ac:dyDescent="0.2">
      <c r="A29" s="20" t="s">
        <v>143</v>
      </c>
      <c r="B29" s="55">
        <v>1012</v>
      </c>
      <c r="C29" s="56">
        <v>2877</v>
      </c>
      <c r="D29" s="56" t="s">
        <v>136</v>
      </c>
      <c r="E29" s="49">
        <v>11.4</v>
      </c>
      <c r="F29" s="49">
        <v>16.3</v>
      </c>
      <c r="G29" s="49">
        <f>F29-E29</f>
        <v>4.9000000000000004</v>
      </c>
      <c r="H29" s="49">
        <f>IF(F29&gt;50,G29*0.2,G29*0.1)</f>
        <v>0.49000000000000005</v>
      </c>
      <c r="I29" s="13" t="s">
        <v>153</v>
      </c>
      <c r="J29" s="13" t="s">
        <v>154</v>
      </c>
      <c r="K29" s="59" t="s">
        <v>133</v>
      </c>
    </row>
    <row r="30" spans="1:11" x14ac:dyDescent="0.2">
      <c r="A30" s="20" t="s">
        <v>144</v>
      </c>
      <c r="B30" s="55">
        <v>1007</v>
      </c>
      <c r="C30" s="56">
        <v>9121</v>
      </c>
      <c r="D30" s="56" t="s">
        <v>130</v>
      </c>
      <c r="E30" s="49">
        <v>4</v>
      </c>
      <c r="F30" s="49">
        <v>7</v>
      </c>
      <c r="G30" s="49">
        <f>F30-E30</f>
        <v>3</v>
      </c>
      <c r="H30" s="49">
        <f>IF(F30&gt;50,G30*0.2,G30*0.1)</f>
        <v>0.30000000000000004</v>
      </c>
      <c r="I30" s="13" t="s">
        <v>153</v>
      </c>
      <c r="J30" s="13" t="s">
        <v>154</v>
      </c>
      <c r="K30" s="59" t="s">
        <v>127</v>
      </c>
    </row>
    <row r="31" spans="1:11" x14ac:dyDescent="0.2">
      <c r="A31" s="20" t="s">
        <v>144</v>
      </c>
      <c r="B31" s="55">
        <v>1010</v>
      </c>
      <c r="C31" s="56">
        <v>2877</v>
      </c>
      <c r="D31" s="56" t="s">
        <v>136</v>
      </c>
      <c r="E31" s="49">
        <v>11.4</v>
      </c>
      <c r="F31" s="49">
        <v>16.3</v>
      </c>
      <c r="G31" s="49">
        <f>F31-E31</f>
        <v>4.9000000000000004</v>
      </c>
      <c r="H31" s="49">
        <f>IF(F31&gt;50,G31*0.2,G31*0.1)</f>
        <v>0.49000000000000005</v>
      </c>
      <c r="I31" s="13" t="s">
        <v>153</v>
      </c>
      <c r="J31" s="13" t="s">
        <v>154</v>
      </c>
      <c r="K31" s="59" t="s">
        <v>132</v>
      </c>
    </row>
    <row r="32" spans="1:11" x14ac:dyDescent="0.2">
      <c r="A32" s="20" t="s">
        <v>144</v>
      </c>
      <c r="B32" s="55">
        <v>1011</v>
      </c>
      <c r="C32" s="56">
        <v>4421</v>
      </c>
      <c r="D32" s="56" t="s">
        <v>128</v>
      </c>
      <c r="E32" s="49">
        <v>45</v>
      </c>
      <c r="F32" s="49">
        <v>87</v>
      </c>
      <c r="G32" s="49">
        <f>F32-E32</f>
        <v>42</v>
      </c>
      <c r="H32" s="49">
        <f>IF(F32&gt;50,G32*0.2,G32*0.1)</f>
        <v>8.4</v>
      </c>
      <c r="I32" s="13" t="s">
        <v>153</v>
      </c>
      <c r="J32" s="13" t="s">
        <v>154</v>
      </c>
      <c r="K32" s="59" t="s">
        <v>127</v>
      </c>
    </row>
    <row r="33" spans="1:11" x14ac:dyDescent="0.2">
      <c r="A33" s="20" t="s">
        <v>139</v>
      </c>
      <c r="B33" s="55">
        <v>1001</v>
      </c>
      <c r="C33" s="56">
        <v>2242</v>
      </c>
      <c r="D33" s="56" t="s">
        <v>137</v>
      </c>
      <c r="E33" s="49">
        <v>60</v>
      </c>
      <c r="F33" s="49">
        <v>124</v>
      </c>
      <c r="G33" s="49">
        <f>F33-E33</f>
        <v>64</v>
      </c>
      <c r="H33" s="49">
        <f>IF(F33&gt;50,G33*0.2,G33*0.1)</f>
        <v>12.8</v>
      </c>
      <c r="I33" s="13" t="s">
        <v>155</v>
      </c>
      <c r="J33" s="13" t="s">
        <v>50</v>
      </c>
      <c r="K33" s="59" t="s">
        <v>129</v>
      </c>
    </row>
    <row r="34" spans="1:11" x14ac:dyDescent="0.2">
      <c r="A34" s="20" t="s">
        <v>145</v>
      </c>
      <c r="B34" s="55">
        <v>1002</v>
      </c>
      <c r="C34" s="56">
        <v>2877</v>
      </c>
      <c r="D34" s="56" t="s">
        <v>136</v>
      </c>
      <c r="E34" s="49">
        <v>11.4</v>
      </c>
      <c r="F34" s="49">
        <v>16.3</v>
      </c>
      <c r="G34" s="49">
        <f>F34-E34</f>
        <v>4.9000000000000004</v>
      </c>
      <c r="H34" s="49">
        <f>IF(F34&gt;50,G34*0.2,G34*0.1)</f>
        <v>0.49000000000000005</v>
      </c>
      <c r="I34" s="13" t="s">
        <v>153</v>
      </c>
      <c r="J34" s="13" t="s">
        <v>154</v>
      </c>
      <c r="K34" s="59" t="s">
        <v>127</v>
      </c>
    </row>
    <row r="35" spans="1:11" x14ac:dyDescent="0.2">
      <c r="A35" s="20" t="s">
        <v>145</v>
      </c>
      <c r="B35" s="55">
        <v>1010</v>
      </c>
      <c r="C35" s="56">
        <v>2499</v>
      </c>
      <c r="D35" s="56" t="s">
        <v>124</v>
      </c>
      <c r="E35" s="49">
        <v>6.2</v>
      </c>
      <c r="F35" s="49">
        <v>9.1999999999999993</v>
      </c>
      <c r="G35" s="49">
        <f>F35-E35</f>
        <v>2.9999999999999991</v>
      </c>
      <c r="H35" s="49">
        <f>IF(F35&gt;50,G35*0.2,G35*0.1)</f>
        <v>0.29999999999999993</v>
      </c>
      <c r="I35" s="13" t="s">
        <v>153</v>
      </c>
      <c r="J35" s="13" t="s">
        <v>154</v>
      </c>
      <c r="K35" s="59" t="s">
        <v>133</v>
      </c>
    </row>
    <row r="36" spans="1:11" x14ac:dyDescent="0.2">
      <c r="A36" s="20" t="s">
        <v>145</v>
      </c>
      <c r="B36" s="55">
        <v>1013</v>
      </c>
      <c r="C36" s="56">
        <v>2242</v>
      </c>
      <c r="D36" s="56" t="s">
        <v>137</v>
      </c>
      <c r="E36" s="49">
        <v>60</v>
      </c>
      <c r="F36" s="49">
        <v>124</v>
      </c>
      <c r="G36" s="49">
        <f>F36-E36</f>
        <v>64</v>
      </c>
      <c r="H36" s="49">
        <f>IF(F36&gt;50,G36*0.2,G36*0.1)</f>
        <v>12.8</v>
      </c>
      <c r="I36" s="13" t="s">
        <v>153</v>
      </c>
      <c r="J36" s="13" t="s">
        <v>154</v>
      </c>
      <c r="K36" s="59" t="s">
        <v>132</v>
      </c>
    </row>
    <row r="37" spans="1:11" x14ac:dyDescent="0.2">
      <c r="A37" s="20" t="s">
        <v>145</v>
      </c>
      <c r="B37" s="55">
        <v>1017</v>
      </c>
      <c r="C37" s="56">
        <v>2242</v>
      </c>
      <c r="D37" s="56" t="s">
        <v>137</v>
      </c>
      <c r="E37" s="49">
        <v>60</v>
      </c>
      <c r="F37" s="49">
        <v>124</v>
      </c>
      <c r="G37" s="49">
        <f>F37-E37</f>
        <v>64</v>
      </c>
      <c r="H37" s="49">
        <f>IF(F37&gt;50,G37*0.2,G37*0.1)</f>
        <v>12.8</v>
      </c>
      <c r="I37" s="13" t="s">
        <v>153</v>
      </c>
      <c r="J37" s="13" t="s">
        <v>154</v>
      </c>
      <c r="K37" s="59" t="s">
        <v>133</v>
      </c>
    </row>
    <row r="38" spans="1:11" x14ac:dyDescent="0.2">
      <c r="A38" s="20" t="s">
        <v>145</v>
      </c>
      <c r="B38" s="55">
        <v>1019</v>
      </c>
      <c r="C38" s="56">
        <v>9121</v>
      </c>
      <c r="D38" s="56" t="s">
        <v>130</v>
      </c>
      <c r="E38" s="49">
        <v>4</v>
      </c>
      <c r="F38" s="49">
        <v>7</v>
      </c>
      <c r="G38" s="49">
        <f>F38-E38</f>
        <v>3</v>
      </c>
      <c r="H38" s="49">
        <f>IF(F38&gt;50,G38*0.2,G38*0.1)</f>
        <v>0.30000000000000004</v>
      </c>
      <c r="I38" s="13" t="s">
        <v>153</v>
      </c>
      <c r="J38" s="13" t="s">
        <v>154</v>
      </c>
      <c r="K38" s="59" t="s">
        <v>125</v>
      </c>
    </row>
    <row r="39" spans="1:11" x14ac:dyDescent="0.2">
      <c r="A39" s="20" t="s">
        <v>140</v>
      </c>
      <c r="B39" s="55">
        <v>1002</v>
      </c>
      <c r="C39" s="56">
        <v>2242</v>
      </c>
      <c r="D39" s="56" t="s">
        <v>137</v>
      </c>
      <c r="E39" s="49">
        <v>60</v>
      </c>
      <c r="F39" s="49">
        <v>124</v>
      </c>
      <c r="G39" s="49">
        <f>F39-E39</f>
        <v>64</v>
      </c>
      <c r="H39" s="49">
        <f>IF(F39&gt;50,G39*0.2,G39*0.1)</f>
        <v>12.8</v>
      </c>
      <c r="I39" s="13" t="s">
        <v>155</v>
      </c>
      <c r="J39" s="13" t="s">
        <v>50</v>
      </c>
      <c r="K39" s="59" t="s">
        <v>129</v>
      </c>
    </row>
    <row r="40" spans="1:11" x14ac:dyDescent="0.2">
      <c r="A40" s="20" t="s">
        <v>146</v>
      </c>
      <c r="B40" s="55">
        <v>1014</v>
      </c>
      <c r="C40" s="56">
        <v>1109</v>
      </c>
      <c r="D40" s="56" t="s">
        <v>126</v>
      </c>
      <c r="E40" s="49">
        <v>3</v>
      </c>
      <c r="F40" s="49">
        <v>8</v>
      </c>
      <c r="G40" s="49">
        <f>F40-E40</f>
        <v>5</v>
      </c>
      <c r="H40" s="49">
        <f>IF(F40&gt;50,G40*0.2,G40*0.1)</f>
        <v>0.5</v>
      </c>
      <c r="I40" s="13" t="s">
        <v>153</v>
      </c>
      <c r="J40" s="13" t="s">
        <v>154</v>
      </c>
      <c r="K40" s="59" t="s">
        <v>135</v>
      </c>
    </row>
    <row r="41" spans="1:11" x14ac:dyDescent="0.2">
      <c r="A41" s="20" t="s">
        <v>146</v>
      </c>
      <c r="B41" s="55">
        <v>1019</v>
      </c>
      <c r="C41" s="56">
        <v>2499</v>
      </c>
      <c r="D41" s="56" t="s">
        <v>124</v>
      </c>
      <c r="E41" s="49">
        <v>6.2</v>
      </c>
      <c r="F41" s="49">
        <v>9.1999999999999993</v>
      </c>
      <c r="G41" s="49">
        <f>F41-E41</f>
        <v>2.9999999999999991</v>
      </c>
      <c r="H41" s="49">
        <f>IF(F41&gt;50,G41*0.2,G41*0.1)</f>
        <v>0.29999999999999993</v>
      </c>
      <c r="I41" s="13" t="s">
        <v>153</v>
      </c>
      <c r="J41" s="13" t="s">
        <v>154</v>
      </c>
      <c r="K41" s="59" t="s">
        <v>132</v>
      </c>
    </row>
    <row r="42" spans="1:11" x14ac:dyDescent="0.2">
      <c r="A42" s="20" t="s">
        <v>147</v>
      </c>
      <c r="B42" s="55">
        <v>1007</v>
      </c>
      <c r="C42" s="56">
        <v>2499</v>
      </c>
      <c r="D42" s="56" t="s">
        <v>124</v>
      </c>
      <c r="E42" s="49">
        <v>6.2</v>
      </c>
      <c r="F42" s="49">
        <v>9.1999999999999993</v>
      </c>
      <c r="G42" s="49">
        <f>F42-E42</f>
        <v>2.9999999999999991</v>
      </c>
      <c r="H42" s="49">
        <f>IF(F42&gt;50,G42*0.2,G42*0.1)</f>
        <v>0.29999999999999993</v>
      </c>
      <c r="I42" s="13" t="s">
        <v>153</v>
      </c>
      <c r="J42" s="13" t="s">
        <v>154</v>
      </c>
      <c r="K42" s="59" t="s">
        <v>132</v>
      </c>
    </row>
    <row r="43" spans="1:11" x14ac:dyDescent="0.2">
      <c r="A43" s="20" t="s">
        <v>147</v>
      </c>
      <c r="B43" s="55">
        <v>1009</v>
      </c>
      <c r="C43" s="56">
        <v>8722</v>
      </c>
      <c r="D43" s="56" t="s">
        <v>134</v>
      </c>
      <c r="E43" s="49">
        <v>344</v>
      </c>
      <c r="F43" s="49">
        <v>502</v>
      </c>
      <c r="G43" s="49">
        <f>F43-E43</f>
        <v>158</v>
      </c>
      <c r="H43" s="49">
        <f>IF(F43&gt;50,G43*0.2,G43*0.1)</f>
        <v>31.6</v>
      </c>
      <c r="I43" s="13" t="s">
        <v>153</v>
      </c>
      <c r="J43" s="13" t="s">
        <v>154</v>
      </c>
      <c r="K43" s="59" t="s">
        <v>135</v>
      </c>
    </row>
    <row r="44" spans="1:11" x14ac:dyDescent="0.2">
      <c r="A44" s="20" t="s">
        <v>147</v>
      </c>
      <c r="B44" s="55">
        <v>1017</v>
      </c>
      <c r="C44" s="56">
        <v>4421</v>
      </c>
      <c r="D44" s="56" t="s">
        <v>128</v>
      </c>
      <c r="E44" s="49">
        <v>45</v>
      </c>
      <c r="F44" s="49">
        <v>87</v>
      </c>
      <c r="G44" s="49">
        <f>F44-E44</f>
        <v>42</v>
      </c>
      <c r="H44" s="49">
        <f>IF(F44&gt;50,G44*0.2,G44*0.1)</f>
        <v>8.4</v>
      </c>
      <c r="I44" s="13" t="s">
        <v>153</v>
      </c>
      <c r="J44" s="13" t="s">
        <v>154</v>
      </c>
      <c r="K44" s="59" t="s">
        <v>135</v>
      </c>
    </row>
    <row r="45" spans="1:11" x14ac:dyDescent="0.2">
      <c r="A45" s="20" t="s">
        <v>141</v>
      </c>
      <c r="B45" s="55">
        <v>1018</v>
      </c>
      <c r="C45" s="56">
        <v>2242</v>
      </c>
      <c r="D45" s="56" t="s">
        <v>137</v>
      </c>
      <c r="E45" s="49">
        <v>60</v>
      </c>
      <c r="F45" s="49">
        <v>124</v>
      </c>
      <c r="G45" s="49">
        <f>F45-E45</f>
        <v>64</v>
      </c>
      <c r="H45" s="49">
        <f>IF(F45&gt;50,G45*0.2,G45*0.1)</f>
        <v>12.8</v>
      </c>
      <c r="I45" s="13" t="s">
        <v>155</v>
      </c>
      <c r="J45" s="13" t="s">
        <v>50</v>
      </c>
      <c r="K45" s="59" t="s">
        <v>129</v>
      </c>
    </row>
    <row r="46" spans="1:11" x14ac:dyDescent="0.2">
      <c r="A46" s="20" t="s">
        <v>147</v>
      </c>
      <c r="B46" s="55">
        <v>1013</v>
      </c>
      <c r="C46" s="56">
        <v>2242</v>
      </c>
      <c r="D46" s="56" t="s">
        <v>137</v>
      </c>
      <c r="E46" s="49">
        <v>60</v>
      </c>
      <c r="F46" s="49">
        <v>124</v>
      </c>
      <c r="G46" s="49">
        <f>F46-E46</f>
        <v>64</v>
      </c>
      <c r="H46" s="49">
        <f>IF(F46&gt;50,G46*0.2,G46*0.1)</f>
        <v>12.8</v>
      </c>
      <c r="I46" s="13" t="s">
        <v>155</v>
      </c>
      <c r="J46" s="13" t="s">
        <v>50</v>
      </c>
      <c r="K46" s="59" t="s">
        <v>129</v>
      </c>
    </row>
    <row r="47" spans="1:11" x14ac:dyDescent="0.2">
      <c r="A47" s="20" t="s">
        <v>148</v>
      </c>
      <c r="B47" s="55">
        <v>1008</v>
      </c>
      <c r="C47" s="56">
        <v>4421</v>
      </c>
      <c r="D47" s="56" t="s">
        <v>128</v>
      </c>
      <c r="E47" s="49">
        <v>45</v>
      </c>
      <c r="F47" s="49">
        <v>87</v>
      </c>
      <c r="G47" s="49">
        <f>F47-E47</f>
        <v>42</v>
      </c>
      <c r="H47" s="49">
        <f>IF(F47&gt;50,G47*0.2,G47*0.1)</f>
        <v>8.4</v>
      </c>
      <c r="I47" s="13" t="s">
        <v>153</v>
      </c>
      <c r="J47" s="13" t="s">
        <v>154</v>
      </c>
      <c r="K47" s="59" t="s">
        <v>135</v>
      </c>
    </row>
    <row r="48" spans="1:11" x14ac:dyDescent="0.2">
      <c r="A48" s="20" t="s">
        <v>148</v>
      </c>
      <c r="B48" s="55">
        <v>1010</v>
      </c>
      <c r="C48" s="56">
        <v>4421</v>
      </c>
      <c r="D48" s="56" t="s">
        <v>128</v>
      </c>
      <c r="E48" s="49">
        <v>45</v>
      </c>
      <c r="F48" s="49">
        <v>87</v>
      </c>
      <c r="G48" s="49">
        <f>F48-E48</f>
        <v>42</v>
      </c>
      <c r="H48" s="49">
        <f>IF(F48&gt;50,G48*0.2,G48*0.1)</f>
        <v>8.4</v>
      </c>
      <c r="I48" s="13" t="s">
        <v>153</v>
      </c>
      <c r="J48" s="13" t="s">
        <v>154</v>
      </c>
      <c r="K48" s="59" t="s">
        <v>132</v>
      </c>
    </row>
    <row r="49" spans="1:11" x14ac:dyDescent="0.2">
      <c r="A49" s="20" t="s">
        <v>148</v>
      </c>
      <c r="B49" s="55">
        <v>1016</v>
      </c>
      <c r="C49" s="56">
        <v>2242</v>
      </c>
      <c r="D49" s="56" t="s">
        <v>137</v>
      </c>
      <c r="E49" s="49">
        <v>60</v>
      </c>
      <c r="F49" s="49">
        <v>124</v>
      </c>
      <c r="G49" s="49">
        <f>F49-E49</f>
        <v>64</v>
      </c>
      <c r="H49" s="49">
        <f>IF(F49&gt;50,G49*0.2,G49*0.1)</f>
        <v>12.8</v>
      </c>
      <c r="I49" s="13" t="s">
        <v>153</v>
      </c>
      <c r="J49" s="13" t="s">
        <v>154</v>
      </c>
      <c r="K49" s="59" t="s">
        <v>125</v>
      </c>
    </row>
    <row r="50" spans="1:11" x14ac:dyDescent="0.2">
      <c r="A50" s="20" t="s">
        <v>148</v>
      </c>
      <c r="B50" s="55">
        <v>1019</v>
      </c>
      <c r="C50" s="56">
        <v>2242</v>
      </c>
      <c r="D50" s="56" t="s">
        <v>137</v>
      </c>
      <c r="E50" s="49">
        <v>60</v>
      </c>
      <c r="F50" s="49">
        <v>124</v>
      </c>
      <c r="G50" s="49">
        <f>F50-E50</f>
        <v>64</v>
      </c>
      <c r="H50" s="49">
        <f>IF(F50&gt;50,G50*0.2,G50*0.1)</f>
        <v>12.8</v>
      </c>
      <c r="I50" s="13" t="s">
        <v>153</v>
      </c>
      <c r="J50" s="13" t="s">
        <v>154</v>
      </c>
      <c r="K50" s="59" t="s">
        <v>133</v>
      </c>
    </row>
    <row r="51" spans="1:11" x14ac:dyDescent="0.2">
      <c r="A51" s="20" t="s">
        <v>123</v>
      </c>
      <c r="B51" s="55">
        <v>1002</v>
      </c>
      <c r="C51" s="56">
        <v>1109</v>
      </c>
      <c r="D51" s="56" t="s">
        <v>126</v>
      </c>
      <c r="E51" s="49">
        <v>3</v>
      </c>
      <c r="F51" s="49">
        <v>8</v>
      </c>
      <c r="G51" s="49">
        <f>F51-E51</f>
        <v>5</v>
      </c>
      <c r="H51" s="49">
        <f>IF(F51&gt;50,G51*0.2,G51*0.1)</f>
        <v>0.5</v>
      </c>
      <c r="I51" s="13" t="s">
        <v>151</v>
      </c>
      <c r="J51" s="13" t="s">
        <v>152</v>
      </c>
      <c r="K51" s="59" t="s">
        <v>127</v>
      </c>
    </row>
    <row r="52" spans="1:11" x14ac:dyDescent="0.2">
      <c r="A52" s="20" t="s">
        <v>123</v>
      </c>
      <c r="B52" s="55">
        <v>1005</v>
      </c>
      <c r="C52" s="56">
        <v>9822</v>
      </c>
      <c r="D52" s="56" t="s">
        <v>131</v>
      </c>
      <c r="E52" s="49">
        <v>58.3</v>
      </c>
      <c r="F52" s="49">
        <v>98.4</v>
      </c>
      <c r="G52" s="49">
        <f>F52-E52</f>
        <v>40.100000000000009</v>
      </c>
      <c r="H52" s="49">
        <f>IF(F52&gt;50,G52*0.2,G52*0.1)</f>
        <v>8.0200000000000014</v>
      </c>
      <c r="I52" s="13" t="s">
        <v>151</v>
      </c>
      <c r="J52" s="13" t="s">
        <v>152</v>
      </c>
      <c r="K52" s="59" t="s">
        <v>132</v>
      </c>
    </row>
    <row r="53" spans="1:11" x14ac:dyDescent="0.2">
      <c r="A53" s="20" t="s">
        <v>123</v>
      </c>
      <c r="B53" s="55">
        <v>1009</v>
      </c>
      <c r="C53" s="56">
        <v>4421</v>
      </c>
      <c r="D53" s="56" t="s">
        <v>128</v>
      </c>
      <c r="E53" s="49">
        <v>45</v>
      </c>
      <c r="F53" s="49">
        <v>87</v>
      </c>
      <c r="G53" s="49">
        <f>F53-E53</f>
        <v>42</v>
      </c>
      <c r="H53" s="49">
        <f>IF(F53&gt;50,G53*0.2,G53*0.1)</f>
        <v>8.4</v>
      </c>
      <c r="I53" s="13" t="s">
        <v>151</v>
      </c>
      <c r="J53" s="13" t="s">
        <v>152</v>
      </c>
      <c r="K53" s="59" t="s">
        <v>133</v>
      </c>
    </row>
    <row r="54" spans="1:11" x14ac:dyDescent="0.2">
      <c r="A54" s="20" t="s">
        <v>123</v>
      </c>
      <c r="B54" s="55">
        <v>1010</v>
      </c>
      <c r="C54" s="56">
        <v>9121</v>
      </c>
      <c r="D54" s="56" t="s">
        <v>130</v>
      </c>
      <c r="E54" s="49">
        <v>4</v>
      </c>
      <c r="F54" s="49">
        <v>7</v>
      </c>
      <c r="G54" s="49">
        <f>F54-E54</f>
        <v>3</v>
      </c>
      <c r="H54" s="49">
        <f>IF(F54&gt;50,G54*0.2,G54*0.1)</f>
        <v>0.30000000000000004</v>
      </c>
      <c r="I54" s="13" t="s">
        <v>151</v>
      </c>
      <c r="J54" s="13" t="s">
        <v>152</v>
      </c>
      <c r="K54" s="59" t="s">
        <v>125</v>
      </c>
    </row>
    <row r="55" spans="1:11" x14ac:dyDescent="0.2">
      <c r="A55" s="20" t="s">
        <v>123</v>
      </c>
      <c r="B55" s="55">
        <v>1011</v>
      </c>
      <c r="C55" s="56">
        <v>2499</v>
      </c>
      <c r="D55" s="56" t="s">
        <v>124</v>
      </c>
      <c r="E55" s="49">
        <v>6.2</v>
      </c>
      <c r="F55" s="49">
        <v>9.1999999999999993</v>
      </c>
      <c r="G55" s="49">
        <f>F55-E55</f>
        <v>2.9999999999999991</v>
      </c>
      <c r="H55" s="49">
        <f>IF(F55&gt;50,G55*0.2,G55*0.1)</f>
        <v>0.29999999999999993</v>
      </c>
      <c r="I55" s="13" t="s">
        <v>151</v>
      </c>
      <c r="J55" s="13" t="s">
        <v>152</v>
      </c>
      <c r="K55" s="59" t="s">
        <v>125</v>
      </c>
    </row>
    <row r="56" spans="1:11" x14ac:dyDescent="0.2">
      <c r="A56" s="20" t="s">
        <v>123</v>
      </c>
      <c r="B56" s="55">
        <v>1012</v>
      </c>
      <c r="C56" s="56">
        <v>9822</v>
      </c>
      <c r="D56" s="56" t="s">
        <v>131</v>
      </c>
      <c r="E56" s="49">
        <v>58.3</v>
      </c>
      <c r="F56" s="49">
        <v>98.4</v>
      </c>
      <c r="G56" s="49">
        <f>F56-E56</f>
        <v>40.100000000000009</v>
      </c>
      <c r="H56" s="49">
        <f>IF(F56&gt;50,G56*0.2,G56*0.1)</f>
        <v>8.0200000000000014</v>
      </c>
      <c r="I56" s="13" t="s">
        <v>151</v>
      </c>
      <c r="J56" s="13" t="s">
        <v>152</v>
      </c>
      <c r="K56" s="59" t="s">
        <v>135</v>
      </c>
    </row>
    <row r="57" spans="1:11" x14ac:dyDescent="0.2">
      <c r="A57" s="20" t="s">
        <v>123</v>
      </c>
      <c r="B57" s="55">
        <v>1015</v>
      </c>
      <c r="C57" s="56">
        <v>2877</v>
      </c>
      <c r="D57" s="56" t="s">
        <v>136</v>
      </c>
      <c r="E57" s="49">
        <v>11.4</v>
      </c>
      <c r="F57" s="49">
        <v>16.3</v>
      </c>
      <c r="G57" s="49">
        <f>F57-E57</f>
        <v>4.9000000000000004</v>
      </c>
      <c r="H57" s="49">
        <f>IF(F57&gt;50,G57*0.2,G57*0.1)</f>
        <v>0.49000000000000005</v>
      </c>
      <c r="I57" s="13" t="s">
        <v>151</v>
      </c>
      <c r="J57" s="13" t="s">
        <v>152</v>
      </c>
      <c r="K57" s="59" t="s">
        <v>127</v>
      </c>
    </row>
    <row r="58" spans="1:11" x14ac:dyDescent="0.2">
      <c r="A58" s="20" t="s">
        <v>123</v>
      </c>
      <c r="B58" s="55">
        <v>1018</v>
      </c>
      <c r="C58" s="56">
        <v>2499</v>
      </c>
      <c r="D58" s="56" t="s">
        <v>124</v>
      </c>
      <c r="E58" s="49">
        <v>6.2</v>
      </c>
      <c r="F58" s="49">
        <v>9.1999999999999993</v>
      </c>
      <c r="G58" s="49">
        <f>F58-E58</f>
        <v>2.9999999999999991</v>
      </c>
      <c r="H58" s="49">
        <f>IF(F58&gt;50,G58*0.2,G58*0.1)</f>
        <v>0.29999999999999993</v>
      </c>
      <c r="I58" s="13" t="s">
        <v>151</v>
      </c>
      <c r="J58" s="13" t="s">
        <v>152</v>
      </c>
      <c r="K58" s="59" t="s">
        <v>133</v>
      </c>
    </row>
    <row r="59" spans="1:11" x14ac:dyDescent="0.2">
      <c r="A59" s="20" t="s">
        <v>146</v>
      </c>
      <c r="B59" s="55">
        <v>1010</v>
      </c>
      <c r="C59" s="56">
        <v>2242</v>
      </c>
      <c r="D59" s="56" t="s">
        <v>137</v>
      </c>
      <c r="E59" s="49">
        <v>60</v>
      </c>
      <c r="F59" s="49">
        <v>124</v>
      </c>
      <c r="G59" s="49">
        <f>F59-E59</f>
        <v>64</v>
      </c>
      <c r="H59" s="49">
        <f>IF(F59&gt;50,G59*0.2,G59*0.1)</f>
        <v>12.8</v>
      </c>
      <c r="I59" s="13" t="s">
        <v>150</v>
      </c>
      <c r="J59" s="13" t="s">
        <v>11</v>
      </c>
      <c r="K59" s="59" t="s">
        <v>129</v>
      </c>
    </row>
    <row r="60" spans="1:11" x14ac:dyDescent="0.2">
      <c r="A60" s="20" t="s">
        <v>138</v>
      </c>
      <c r="B60" s="55">
        <v>1008</v>
      </c>
      <c r="C60" s="56">
        <v>2877</v>
      </c>
      <c r="D60" s="56" t="s">
        <v>136</v>
      </c>
      <c r="E60" s="49">
        <v>11.4</v>
      </c>
      <c r="F60" s="49">
        <v>16.3</v>
      </c>
      <c r="G60" s="49">
        <f>F60-E60</f>
        <v>4.9000000000000004</v>
      </c>
      <c r="H60" s="49">
        <f>IF(F60&gt;50,G60*0.2,G60*0.1)</f>
        <v>0.49000000000000005</v>
      </c>
      <c r="I60" s="13" t="s">
        <v>151</v>
      </c>
      <c r="J60" s="13" t="s">
        <v>152</v>
      </c>
      <c r="K60" s="59" t="s">
        <v>125</v>
      </c>
    </row>
    <row r="61" spans="1:11" x14ac:dyDescent="0.2">
      <c r="A61" s="20" t="s">
        <v>138</v>
      </c>
      <c r="B61" s="55">
        <v>1010</v>
      </c>
      <c r="C61" s="56">
        <v>2242</v>
      </c>
      <c r="D61" s="56" t="s">
        <v>137</v>
      </c>
      <c r="E61" s="49">
        <v>60</v>
      </c>
      <c r="F61" s="49">
        <v>124</v>
      </c>
      <c r="G61" s="49">
        <f>F61-E61</f>
        <v>64</v>
      </c>
      <c r="H61" s="49">
        <f>IF(F61&gt;50,G61*0.2,G61*0.1)</f>
        <v>12.8</v>
      </c>
      <c r="I61" s="13" t="s">
        <v>151</v>
      </c>
      <c r="J61" s="13" t="s">
        <v>152</v>
      </c>
      <c r="K61" s="59" t="s">
        <v>135</v>
      </c>
    </row>
    <row r="62" spans="1:11" x14ac:dyDescent="0.2">
      <c r="A62" s="20" t="s">
        <v>138</v>
      </c>
      <c r="B62" s="55">
        <v>1011</v>
      </c>
      <c r="C62" s="56">
        <v>9822</v>
      </c>
      <c r="D62" s="56" t="s">
        <v>131</v>
      </c>
      <c r="E62" s="49">
        <v>58.3</v>
      </c>
      <c r="F62" s="49">
        <v>98.4</v>
      </c>
      <c r="G62" s="49">
        <f>F62-E62</f>
        <v>40.100000000000009</v>
      </c>
      <c r="H62" s="49">
        <f>IF(F62&gt;50,G62*0.2,G62*0.1)</f>
        <v>8.0200000000000014</v>
      </c>
      <c r="I62" s="13" t="s">
        <v>151</v>
      </c>
      <c r="J62" s="13" t="s">
        <v>152</v>
      </c>
      <c r="K62" s="59" t="s">
        <v>135</v>
      </c>
    </row>
    <row r="63" spans="1:11" x14ac:dyDescent="0.2">
      <c r="A63" s="20" t="s">
        <v>138</v>
      </c>
      <c r="B63" s="55">
        <v>1014</v>
      </c>
      <c r="C63" s="56">
        <v>9121</v>
      </c>
      <c r="D63" s="56" t="s">
        <v>130</v>
      </c>
      <c r="E63" s="49">
        <v>4</v>
      </c>
      <c r="F63" s="49">
        <v>7</v>
      </c>
      <c r="G63" s="49">
        <f>F63-E63</f>
        <v>3</v>
      </c>
      <c r="H63" s="49">
        <f>IF(F63&gt;50,G63*0.2,G63*0.1)</f>
        <v>0.30000000000000004</v>
      </c>
      <c r="I63" s="13" t="s">
        <v>151</v>
      </c>
      <c r="J63" s="13" t="s">
        <v>152</v>
      </c>
      <c r="K63" s="59" t="s">
        <v>125</v>
      </c>
    </row>
    <row r="64" spans="1:11" x14ac:dyDescent="0.2">
      <c r="A64" s="20" t="s">
        <v>138</v>
      </c>
      <c r="B64" s="55">
        <v>1017</v>
      </c>
      <c r="C64" s="56">
        <v>2499</v>
      </c>
      <c r="D64" s="56" t="s">
        <v>124</v>
      </c>
      <c r="E64" s="49">
        <v>6.2</v>
      </c>
      <c r="F64" s="49">
        <v>9.1999999999999993</v>
      </c>
      <c r="G64" s="49">
        <f>F64-E64</f>
        <v>2.9999999999999991</v>
      </c>
      <c r="H64" s="49">
        <f>IF(F64&gt;50,G64*0.2,G64*0.1)</f>
        <v>0.29999999999999993</v>
      </c>
      <c r="I64" s="13" t="s">
        <v>151</v>
      </c>
      <c r="J64" s="13" t="s">
        <v>152</v>
      </c>
      <c r="K64" s="59" t="s">
        <v>132</v>
      </c>
    </row>
    <row r="65" spans="1:11" x14ac:dyDescent="0.2">
      <c r="A65" s="20" t="s">
        <v>139</v>
      </c>
      <c r="B65" s="55">
        <v>1003</v>
      </c>
      <c r="C65" s="56">
        <v>9822</v>
      </c>
      <c r="D65" s="56" t="s">
        <v>131</v>
      </c>
      <c r="E65" s="49">
        <v>58.3</v>
      </c>
      <c r="F65" s="49">
        <v>98.4</v>
      </c>
      <c r="G65" s="49">
        <f>F65-E65</f>
        <v>40.100000000000009</v>
      </c>
      <c r="H65" s="49">
        <f>IF(F65&gt;50,G65*0.2,G65*0.1)</f>
        <v>8.0200000000000014</v>
      </c>
      <c r="I65" s="13" t="s">
        <v>151</v>
      </c>
      <c r="J65" s="13" t="s">
        <v>152</v>
      </c>
      <c r="K65" s="59" t="s">
        <v>133</v>
      </c>
    </row>
    <row r="66" spans="1:11" x14ac:dyDescent="0.2">
      <c r="A66" s="20" t="s">
        <v>139</v>
      </c>
      <c r="B66" s="55">
        <v>1004</v>
      </c>
      <c r="C66" s="56">
        <v>2877</v>
      </c>
      <c r="D66" s="56" t="s">
        <v>136</v>
      </c>
      <c r="E66" s="49">
        <v>11.4</v>
      </c>
      <c r="F66" s="49">
        <v>16.3</v>
      </c>
      <c r="G66" s="49">
        <f>F66-E66</f>
        <v>4.9000000000000004</v>
      </c>
      <c r="H66" s="49">
        <f>IF(F66&gt;50,G66*0.2,G66*0.1)</f>
        <v>0.49000000000000005</v>
      </c>
      <c r="I66" s="13" t="s">
        <v>151</v>
      </c>
      <c r="J66" s="13" t="s">
        <v>152</v>
      </c>
      <c r="K66" s="59" t="s">
        <v>132</v>
      </c>
    </row>
    <row r="67" spans="1:11" x14ac:dyDescent="0.2">
      <c r="A67" s="20" t="s">
        <v>139</v>
      </c>
      <c r="B67" s="55">
        <v>1008</v>
      </c>
      <c r="C67" s="56">
        <v>1109</v>
      </c>
      <c r="D67" s="56" t="s">
        <v>126</v>
      </c>
      <c r="E67" s="49">
        <v>3</v>
      </c>
      <c r="F67" s="49">
        <v>8</v>
      </c>
      <c r="G67" s="49">
        <f>F67-E67</f>
        <v>5</v>
      </c>
      <c r="H67" s="49">
        <f>IF(F67&gt;50,G67*0.2,G67*0.1)</f>
        <v>0.5</v>
      </c>
      <c r="I67" s="13" t="s">
        <v>151</v>
      </c>
      <c r="J67" s="13" t="s">
        <v>152</v>
      </c>
      <c r="K67" s="59" t="s">
        <v>133</v>
      </c>
    </row>
    <row r="68" spans="1:11" x14ac:dyDescent="0.2">
      <c r="A68" s="20" t="s">
        <v>139</v>
      </c>
      <c r="B68" s="55">
        <v>1013</v>
      </c>
      <c r="C68" s="56">
        <v>9121</v>
      </c>
      <c r="D68" s="56" t="s">
        <v>130</v>
      </c>
      <c r="E68" s="49">
        <v>4</v>
      </c>
      <c r="F68" s="49">
        <v>7</v>
      </c>
      <c r="G68" s="49">
        <f>F68-E68</f>
        <v>3</v>
      </c>
      <c r="H68" s="49">
        <f>IF(F68&gt;50,G68*0.2,G68*0.1)</f>
        <v>0.30000000000000004</v>
      </c>
      <c r="I68" s="13" t="s">
        <v>151</v>
      </c>
      <c r="J68" s="13" t="s">
        <v>152</v>
      </c>
      <c r="K68" s="59" t="s">
        <v>135</v>
      </c>
    </row>
    <row r="69" spans="1:11" x14ac:dyDescent="0.2">
      <c r="A69" s="20" t="s">
        <v>139</v>
      </c>
      <c r="B69" s="55">
        <v>1015</v>
      </c>
      <c r="C69" s="56">
        <v>8722</v>
      </c>
      <c r="D69" s="56" t="s">
        <v>134</v>
      </c>
      <c r="E69" s="49">
        <v>344</v>
      </c>
      <c r="F69" s="49">
        <v>502</v>
      </c>
      <c r="G69" s="49">
        <f>F69-E69</f>
        <v>158</v>
      </c>
      <c r="H69" s="49">
        <f>IF(F69&gt;50,G69*0.2,G69*0.1)</f>
        <v>31.6</v>
      </c>
      <c r="I69" s="13" t="s">
        <v>151</v>
      </c>
      <c r="J69" s="13" t="s">
        <v>152</v>
      </c>
      <c r="K69" s="59" t="s">
        <v>133</v>
      </c>
    </row>
    <row r="70" spans="1:11" x14ac:dyDescent="0.2">
      <c r="A70" s="20" t="s">
        <v>139</v>
      </c>
      <c r="B70" s="55">
        <v>1017</v>
      </c>
      <c r="C70" s="56">
        <v>9822</v>
      </c>
      <c r="D70" s="56" t="s">
        <v>131</v>
      </c>
      <c r="E70" s="49">
        <v>58.3</v>
      </c>
      <c r="F70" s="49">
        <v>98.4</v>
      </c>
      <c r="G70" s="49">
        <f>F70-E70</f>
        <v>40.100000000000009</v>
      </c>
      <c r="H70" s="49">
        <f>IF(F70&gt;50,G70*0.2,G70*0.1)</f>
        <v>8.0200000000000014</v>
      </c>
      <c r="I70" s="13" t="s">
        <v>151</v>
      </c>
      <c r="J70" s="13" t="s">
        <v>152</v>
      </c>
      <c r="K70" s="59" t="s">
        <v>135</v>
      </c>
    </row>
    <row r="71" spans="1:11" x14ac:dyDescent="0.2">
      <c r="A71" s="20" t="s">
        <v>139</v>
      </c>
      <c r="B71" s="55">
        <v>1019</v>
      </c>
      <c r="C71" s="56">
        <v>2499</v>
      </c>
      <c r="D71" s="56" t="s">
        <v>124</v>
      </c>
      <c r="E71" s="49">
        <v>6.2</v>
      </c>
      <c r="F71" s="49">
        <v>9.1999999999999993</v>
      </c>
      <c r="G71" s="49">
        <f>F71-E71</f>
        <v>2.9999999999999991</v>
      </c>
      <c r="H71" s="49">
        <f>IF(F71&gt;50,G71*0.2,G71*0.1)</f>
        <v>0.29999999999999993</v>
      </c>
      <c r="I71" s="13" t="s">
        <v>151</v>
      </c>
      <c r="J71" s="13" t="s">
        <v>152</v>
      </c>
      <c r="K71" s="59" t="s">
        <v>132</v>
      </c>
    </row>
    <row r="72" spans="1:11" x14ac:dyDescent="0.2">
      <c r="A72" s="20" t="s">
        <v>140</v>
      </c>
      <c r="B72" s="55">
        <v>1009</v>
      </c>
      <c r="C72" s="56">
        <v>2499</v>
      </c>
      <c r="D72" s="56" t="s">
        <v>124</v>
      </c>
      <c r="E72" s="49">
        <v>6.2</v>
      </c>
      <c r="F72" s="49">
        <v>9.1999999999999993</v>
      </c>
      <c r="G72" s="49">
        <f>F72-E72</f>
        <v>2.9999999999999991</v>
      </c>
      <c r="H72" s="49">
        <f>IF(F72&gt;50,G72*0.2,G72*0.1)</f>
        <v>0.29999999999999993</v>
      </c>
      <c r="I72" s="13" t="s">
        <v>151</v>
      </c>
      <c r="J72" s="13" t="s">
        <v>152</v>
      </c>
      <c r="K72" s="59" t="s">
        <v>133</v>
      </c>
    </row>
    <row r="73" spans="1:11" x14ac:dyDescent="0.2">
      <c r="A73" s="20" t="s">
        <v>140</v>
      </c>
      <c r="B73" s="55">
        <v>1014</v>
      </c>
      <c r="C73" s="56">
        <v>2242</v>
      </c>
      <c r="D73" s="56" t="s">
        <v>137</v>
      </c>
      <c r="E73" s="49">
        <v>60</v>
      </c>
      <c r="F73" s="49">
        <v>124</v>
      </c>
      <c r="G73" s="49">
        <f>F73-E73</f>
        <v>64</v>
      </c>
      <c r="H73" s="49">
        <f>IF(F73&gt;50,G73*0.2,G73*0.1)</f>
        <v>12.8</v>
      </c>
      <c r="I73" s="13" t="s">
        <v>151</v>
      </c>
      <c r="J73" s="13" t="s">
        <v>152</v>
      </c>
      <c r="K73" s="59" t="s">
        <v>132</v>
      </c>
    </row>
    <row r="74" spans="1:11" x14ac:dyDescent="0.2">
      <c r="A74" s="20" t="s">
        <v>140</v>
      </c>
      <c r="B74" s="55">
        <v>1018</v>
      </c>
      <c r="C74" s="56">
        <v>8722</v>
      </c>
      <c r="D74" s="56" t="s">
        <v>134</v>
      </c>
      <c r="E74" s="49">
        <v>344</v>
      </c>
      <c r="F74" s="49">
        <v>502</v>
      </c>
      <c r="G74" s="49">
        <f>F74-E74</f>
        <v>158</v>
      </c>
      <c r="H74" s="49">
        <f>IF(F74&gt;50,G74*0.2,G74*0.1)</f>
        <v>31.6</v>
      </c>
      <c r="I74" s="13" t="s">
        <v>151</v>
      </c>
      <c r="J74" s="13" t="s">
        <v>152</v>
      </c>
      <c r="K74" s="59" t="s">
        <v>135</v>
      </c>
    </row>
    <row r="75" spans="1:11" x14ac:dyDescent="0.2">
      <c r="A75" s="20" t="s">
        <v>140</v>
      </c>
      <c r="B75" s="55">
        <v>1019</v>
      </c>
      <c r="C75" s="56">
        <v>8722</v>
      </c>
      <c r="D75" s="56" t="s">
        <v>134</v>
      </c>
      <c r="E75" s="49">
        <v>344</v>
      </c>
      <c r="F75" s="49">
        <v>502</v>
      </c>
      <c r="G75" s="49">
        <f>F75-E75</f>
        <v>158</v>
      </c>
      <c r="H75" s="49">
        <f>IF(F75&gt;50,G75*0.2,G75*0.1)</f>
        <v>31.6</v>
      </c>
      <c r="I75" s="13" t="s">
        <v>151</v>
      </c>
      <c r="J75" s="13" t="s">
        <v>152</v>
      </c>
      <c r="K75" s="59" t="s">
        <v>135</v>
      </c>
    </row>
    <row r="76" spans="1:11" x14ac:dyDescent="0.2">
      <c r="A76" s="20" t="s">
        <v>141</v>
      </c>
      <c r="B76" s="55">
        <v>1003</v>
      </c>
      <c r="C76" s="56">
        <v>8722</v>
      </c>
      <c r="D76" s="56" t="s">
        <v>134</v>
      </c>
      <c r="E76" s="49">
        <v>344</v>
      </c>
      <c r="F76" s="49">
        <v>502</v>
      </c>
      <c r="G76" s="49">
        <f>F76-E76</f>
        <v>158</v>
      </c>
      <c r="H76" s="49">
        <f>IF(F76&gt;50,G76*0.2,G76*0.1)</f>
        <v>31.6</v>
      </c>
      <c r="I76" s="13" t="s">
        <v>151</v>
      </c>
      <c r="J76" s="13" t="s">
        <v>152</v>
      </c>
      <c r="K76" s="59" t="s">
        <v>133</v>
      </c>
    </row>
    <row r="77" spans="1:11" x14ac:dyDescent="0.2">
      <c r="A77" s="20" t="s">
        <v>141</v>
      </c>
      <c r="B77" s="55">
        <v>1009</v>
      </c>
      <c r="C77" s="56">
        <v>2499</v>
      </c>
      <c r="D77" s="56" t="s">
        <v>124</v>
      </c>
      <c r="E77" s="49">
        <v>6.2</v>
      </c>
      <c r="F77" s="49">
        <v>9.1999999999999993</v>
      </c>
      <c r="G77" s="49">
        <f>F77-E77</f>
        <v>2.9999999999999991</v>
      </c>
      <c r="H77" s="49">
        <f>IF(F77&gt;50,G77*0.2,G77*0.1)</f>
        <v>0.29999999999999993</v>
      </c>
      <c r="I77" s="13" t="s">
        <v>151</v>
      </c>
      <c r="J77" s="13" t="s">
        <v>152</v>
      </c>
      <c r="K77" s="59" t="s">
        <v>132</v>
      </c>
    </row>
    <row r="78" spans="1:11" x14ac:dyDescent="0.2">
      <c r="A78" s="20" t="s">
        <v>142</v>
      </c>
      <c r="B78" s="55">
        <v>1001</v>
      </c>
      <c r="C78" s="56">
        <v>2877</v>
      </c>
      <c r="D78" s="56" t="s">
        <v>136</v>
      </c>
      <c r="E78" s="49">
        <v>11.4</v>
      </c>
      <c r="F78" s="49">
        <v>16.3</v>
      </c>
      <c r="G78" s="49">
        <f>F78-E78</f>
        <v>4.9000000000000004</v>
      </c>
      <c r="H78" s="49">
        <f>IF(F78&gt;50,G78*0.2,G78*0.1)</f>
        <v>0.49000000000000005</v>
      </c>
      <c r="I78" s="13" t="s">
        <v>151</v>
      </c>
      <c r="J78" s="13" t="s">
        <v>152</v>
      </c>
      <c r="K78" s="59" t="s">
        <v>135</v>
      </c>
    </row>
    <row r="79" spans="1:11" x14ac:dyDescent="0.2">
      <c r="A79" s="20" t="s">
        <v>142</v>
      </c>
      <c r="B79" s="55">
        <v>1006</v>
      </c>
      <c r="C79" s="56">
        <v>1109</v>
      </c>
      <c r="D79" s="56" t="s">
        <v>126</v>
      </c>
      <c r="E79" s="49">
        <v>3</v>
      </c>
      <c r="F79" s="49">
        <v>8</v>
      </c>
      <c r="G79" s="49">
        <f>F79-E79</f>
        <v>5</v>
      </c>
      <c r="H79" s="49">
        <f>IF(F79&gt;50,G79*0.2,G79*0.1)</f>
        <v>0.5</v>
      </c>
      <c r="I79" s="13" t="s">
        <v>151</v>
      </c>
      <c r="J79" s="13" t="s">
        <v>152</v>
      </c>
      <c r="K79" s="59" t="s">
        <v>133</v>
      </c>
    </row>
    <row r="80" spans="1:11" x14ac:dyDescent="0.2">
      <c r="A80" s="20" t="s">
        <v>142</v>
      </c>
      <c r="B80" s="55">
        <v>1013</v>
      </c>
      <c r="C80" s="56">
        <v>2499</v>
      </c>
      <c r="D80" s="56" t="s">
        <v>124</v>
      </c>
      <c r="E80" s="49">
        <v>6.2</v>
      </c>
      <c r="F80" s="49">
        <v>9.1999999999999993</v>
      </c>
      <c r="G80" s="49">
        <f>F80-E80</f>
        <v>2.9999999999999991</v>
      </c>
      <c r="H80" s="49">
        <f>IF(F80&gt;50,G80*0.2,G80*0.1)</f>
        <v>0.29999999999999993</v>
      </c>
      <c r="I80" s="13" t="s">
        <v>151</v>
      </c>
      <c r="J80" s="13" t="s">
        <v>152</v>
      </c>
      <c r="K80" s="59" t="s">
        <v>125</v>
      </c>
    </row>
    <row r="81" spans="1:11" x14ac:dyDescent="0.2">
      <c r="A81" s="20" t="s">
        <v>142</v>
      </c>
      <c r="B81" s="55">
        <v>1015</v>
      </c>
      <c r="C81" s="56">
        <v>2499</v>
      </c>
      <c r="D81" s="56" t="s">
        <v>124</v>
      </c>
      <c r="E81" s="49">
        <v>6.2</v>
      </c>
      <c r="F81" s="49">
        <v>9.1999999999999993</v>
      </c>
      <c r="G81" s="49">
        <f>F81-E81</f>
        <v>2.9999999999999991</v>
      </c>
      <c r="H81" s="49">
        <f>IF(F81&gt;50,G81*0.2,G81*0.1)</f>
        <v>0.29999999999999993</v>
      </c>
      <c r="I81" s="13" t="s">
        <v>151</v>
      </c>
      <c r="J81" s="13" t="s">
        <v>152</v>
      </c>
      <c r="K81" s="59" t="s">
        <v>125</v>
      </c>
    </row>
    <row r="82" spans="1:11" x14ac:dyDescent="0.2">
      <c r="A82" s="20" t="s">
        <v>142</v>
      </c>
      <c r="B82" s="55">
        <v>1016</v>
      </c>
      <c r="C82" s="56">
        <v>2877</v>
      </c>
      <c r="D82" s="56" t="s">
        <v>136</v>
      </c>
      <c r="E82" s="49">
        <v>11.4</v>
      </c>
      <c r="F82" s="49">
        <v>16.3</v>
      </c>
      <c r="G82" s="49">
        <f>F82-E82</f>
        <v>4.9000000000000004</v>
      </c>
      <c r="H82" s="49">
        <f>IF(F82&gt;50,G82*0.2,G82*0.1)</f>
        <v>0.49000000000000005</v>
      </c>
      <c r="I82" s="13" t="s">
        <v>151</v>
      </c>
      <c r="J82" s="13" t="s">
        <v>152</v>
      </c>
      <c r="K82" s="59" t="s">
        <v>133</v>
      </c>
    </row>
    <row r="83" spans="1:11" x14ac:dyDescent="0.2">
      <c r="A83" s="20" t="s">
        <v>139</v>
      </c>
      <c r="B83" s="55">
        <v>1018</v>
      </c>
      <c r="C83" s="56">
        <v>9822</v>
      </c>
      <c r="D83" s="56" t="s">
        <v>131</v>
      </c>
      <c r="E83" s="49">
        <v>58.3</v>
      </c>
      <c r="F83" s="49">
        <v>98.4</v>
      </c>
      <c r="G83" s="49">
        <f>F83-E83</f>
        <v>40.100000000000009</v>
      </c>
      <c r="H83" s="49">
        <f>IF(F83&gt;50,G83*0.2,G83*0.1)</f>
        <v>8.0200000000000014</v>
      </c>
      <c r="I83" s="13" t="s">
        <v>153</v>
      </c>
      <c r="J83" s="13" t="s">
        <v>154</v>
      </c>
      <c r="K83" s="59" t="s">
        <v>129</v>
      </c>
    </row>
    <row r="84" spans="1:11" x14ac:dyDescent="0.2">
      <c r="A84" s="20" t="s">
        <v>143</v>
      </c>
      <c r="B84" s="55">
        <v>1006</v>
      </c>
      <c r="C84" s="56">
        <v>2242</v>
      </c>
      <c r="D84" s="56" t="s">
        <v>137</v>
      </c>
      <c r="E84" s="49">
        <v>60</v>
      </c>
      <c r="F84" s="49">
        <v>124</v>
      </c>
      <c r="G84" s="49">
        <f>F84-E84</f>
        <v>64</v>
      </c>
      <c r="H84" s="49">
        <f>IF(F84&gt;50,G84*0.2,G84*0.1)</f>
        <v>12.8</v>
      </c>
      <c r="I84" s="13" t="s">
        <v>151</v>
      </c>
      <c r="J84" s="13" t="s">
        <v>152</v>
      </c>
      <c r="K84" s="59" t="s">
        <v>135</v>
      </c>
    </row>
    <row r="85" spans="1:11" x14ac:dyDescent="0.2">
      <c r="A85" s="20" t="s">
        <v>143</v>
      </c>
      <c r="B85" s="55">
        <v>1010</v>
      </c>
      <c r="C85" s="56">
        <v>2242</v>
      </c>
      <c r="D85" s="56" t="s">
        <v>137</v>
      </c>
      <c r="E85" s="49">
        <v>60</v>
      </c>
      <c r="F85" s="49">
        <v>124</v>
      </c>
      <c r="G85" s="49">
        <f>F85-E85</f>
        <v>64</v>
      </c>
      <c r="H85" s="49">
        <f>IF(F85&gt;50,G85*0.2,G85*0.1)</f>
        <v>12.8</v>
      </c>
      <c r="I85" s="13" t="s">
        <v>151</v>
      </c>
      <c r="J85" s="13" t="s">
        <v>152</v>
      </c>
      <c r="K85" s="59" t="s">
        <v>132</v>
      </c>
    </row>
    <row r="86" spans="1:11" x14ac:dyDescent="0.2">
      <c r="A86" s="20" t="s">
        <v>143</v>
      </c>
      <c r="B86" s="55">
        <v>1015</v>
      </c>
      <c r="C86" s="56">
        <v>2877</v>
      </c>
      <c r="D86" s="56" t="s">
        <v>136</v>
      </c>
      <c r="E86" s="49">
        <v>11.4</v>
      </c>
      <c r="F86" s="49">
        <v>16.3</v>
      </c>
      <c r="G86" s="49">
        <f>F86-E86</f>
        <v>4.9000000000000004</v>
      </c>
      <c r="H86" s="49">
        <f>IF(F86&gt;50,G86*0.2,G86*0.1)</f>
        <v>0.49000000000000005</v>
      </c>
      <c r="I86" s="13" t="s">
        <v>151</v>
      </c>
      <c r="J86" s="13" t="s">
        <v>152</v>
      </c>
      <c r="K86" s="59" t="s">
        <v>125</v>
      </c>
    </row>
    <row r="87" spans="1:11" x14ac:dyDescent="0.2">
      <c r="A87" s="20" t="s">
        <v>144</v>
      </c>
      <c r="B87" s="55">
        <v>1003</v>
      </c>
      <c r="C87" s="56">
        <v>2877</v>
      </c>
      <c r="D87" s="56" t="s">
        <v>136</v>
      </c>
      <c r="E87" s="49">
        <v>11.4</v>
      </c>
      <c r="F87" s="49">
        <v>16.3</v>
      </c>
      <c r="G87" s="49">
        <f>F87-E87</f>
        <v>4.9000000000000004</v>
      </c>
      <c r="H87" s="49">
        <f>IF(F87&gt;50,G87*0.2,G87*0.1)</f>
        <v>0.49000000000000005</v>
      </c>
      <c r="I87" s="13" t="s">
        <v>151</v>
      </c>
      <c r="J87" s="13" t="s">
        <v>152</v>
      </c>
      <c r="K87" s="59" t="s">
        <v>135</v>
      </c>
    </row>
    <row r="88" spans="1:11" x14ac:dyDescent="0.2">
      <c r="A88" s="20" t="s">
        <v>144</v>
      </c>
      <c r="B88" s="55">
        <v>1005</v>
      </c>
      <c r="C88" s="56">
        <v>2499</v>
      </c>
      <c r="D88" s="56" t="s">
        <v>124</v>
      </c>
      <c r="E88" s="49">
        <v>6.2</v>
      </c>
      <c r="F88" s="49">
        <v>9.1999999999999993</v>
      </c>
      <c r="G88" s="49">
        <f>F88-E88</f>
        <v>2.9999999999999991</v>
      </c>
      <c r="H88" s="49">
        <f>IF(F88&gt;50,G88*0.2,G88*0.1)</f>
        <v>0.29999999999999993</v>
      </c>
      <c r="I88" s="13" t="s">
        <v>151</v>
      </c>
      <c r="J88" s="13" t="s">
        <v>152</v>
      </c>
      <c r="K88" s="59" t="s">
        <v>125</v>
      </c>
    </row>
    <row r="89" spans="1:11" x14ac:dyDescent="0.2">
      <c r="A89" s="20" t="s">
        <v>144</v>
      </c>
      <c r="B89" s="55">
        <v>1006</v>
      </c>
      <c r="C89" s="56">
        <v>1109</v>
      </c>
      <c r="D89" s="56" t="s">
        <v>126</v>
      </c>
      <c r="E89" s="49">
        <v>3</v>
      </c>
      <c r="F89" s="49">
        <v>8</v>
      </c>
      <c r="G89" s="49">
        <f>F89-E89</f>
        <v>5</v>
      </c>
      <c r="H89" s="49">
        <f>IF(F89&gt;50,G89*0.2,G89*0.1)</f>
        <v>0.5</v>
      </c>
      <c r="I89" s="13" t="s">
        <v>151</v>
      </c>
      <c r="J89" s="13" t="s">
        <v>152</v>
      </c>
      <c r="K89" s="59" t="s">
        <v>132</v>
      </c>
    </row>
    <row r="90" spans="1:11" x14ac:dyDescent="0.2">
      <c r="A90" s="20" t="s">
        <v>144</v>
      </c>
      <c r="B90" s="55">
        <v>1008</v>
      </c>
      <c r="C90" s="56">
        <v>2242</v>
      </c>
      <c r="D90" s="56" t="s">
        <v>137</v>
      </c>
      <c r="E90" s="49">
        <v>60</v>
      </c>
      <c r="F90" s="49">
        <v>124</v>
      </c>
      <c r="G90" s="49">
        <f>F90-E90</f>
        <v>64</v>
      </c>
      <c r="H90" s="49">
        <f>IF(F90&gt;50,G90*0.2,G90*0.1)</f>
        <v>12.8</v>
      </c>
      <c r="I90" s="13" t="s">
        <v>151</v>
      </c>
      <c r="J90" s="13" t="s">
        <v>152</v>
      </c>
      <c r="K90" s="59" t="s">
        <v>135</v>
      </c>
    </row>
    <row r="91" spans="1:11" x14ac:dyDescent="0.2">
      <c r="A91" s="20" t="s">
        <v>140</v>
      </c>
      <c r="B91" s="55">
        <v>1011</v>
      </c>
      <c r="C91" s="56">
        <v>9822</v>
      </c>
      <c r="D91" s="56" t="s">
        <v>131</v>
      </c>
      <c r="E91" s="49">
        <v>58.3</v>
      </c>
      <c r="F91" s="49">
        <v>98.4</v>
      </c>
      <c r="G91" s="49">
        <f>F91-E91</f>
        <v>40.100000000000009</v>
      </c>
      <c r="H91" s="49">
        <f>IF(F91&gt;50,G91*0.2,G91*0.1)</f>
        <v>8.0200000000000014</v>
      </c>
      <c r="I91" s="13" t="s">
        <v>153</v>
      </c>
      <c r="J91" s="13" t="s">
        <v>154</v>
      </c>
      <c r="K91" s="59" t="s">
        <v>129</v>
      </c>
    </row>
    <row r="92" spans="1:11" x14ac:dyDescent="0.2">
      <c r="A92" s="20" t="s">
        <v>144</v>
      </c>
      <c r="B92" s="55">
        <v>1012</v>
      </c>
      <c r="C92" s="56">
        <v>2499</v>
      </c>
      <c r="D92" s="56" t="s">
        <v>124</v>
      </c>
      <c r="E92" s="49">
        <v>6.2</v>
      </c>
      <c r="F92" s="49">
        <v>9.1999999999999993</v>
      </c>
      <c r="G92" s="49">
        <f>F92-E92</f>
        <v>2.9999999999999991</v>
      </c>
      <c r="H92" s="49">
        <f>IF(F92&gt;50,G92*0.2,G92*0.1)</f>
        <v>0.29999999999999993</v>
      </c>
      <c r="I92" s="13" t="s">
        <v>151</v>
      </c>
      <c r="J92" s="13" t="s">
        <v>152</v>
      </c>
      <c r="K92" s="59" t="s">
        <v>132</v>
      </c>
    </row>
    <row r="93" spans="1:11" x14ac:dyDescent="0.2">
      <c r="A93" s="20" t="s">
        <v>144</v>
      </c>
      <c r="B93" s="55">
        <v>1017</v>
      </c>
      <c r="C93" s="56">
        <v>1109</v>
      </c>
      <c r="D93" s="56" t="s">
        <v>126</v>
      </c>
      <c r="E93" s="49">
        <v>3</v>
      </c>
      <c r="F93" s="49">
        <v>8</v>
      </c>
      <c r="G93" s="49">
        <f>F93-E93</f>
        <v>5</v>
      </c>
      <c r="H93" s="49">
        <f>IF(F93&gt;50,G93*0.2,G93*0.1)</f>
        <v>0.5</v>
      </c>
      <c r="I93" s="13" t="s">
        <v>151</v>
      </c>
      <c r="J93" s="13" t="s">
        <v>152</v>
      </c>
      <c r="K93" s="59" t="s">
        <v>127</v>
      </c>
    </row>
    <row r="94" spans="1:11" x14ac:dyDescent="0.2">
      <c r="A94" s="20" t="s">
        <v>145</v>
      </c>
      <c r="B94" s="55">
        <v>1001</v>
      </c>
      <c r="C94" s="56">
        <v>1109</v>
      </c>
      <c r="D94" s="56" t="s">
        <v>126</v>
      </c>
      <c r="E94" s="49">
        <v>3</v>
      </c>
      <c r="F94" s="49">
        <v>8</v>
      </c>
      <c r="G94" s="49">
        <f>F94-E94</f>
        <v>5</v>
      </c>
      <c r="H94" s="49">
        <f>IF(F94&gt;50,G94*0.2,G94*0.1)</f>
        <v>0.5</v>
      </c>
      <c r="I94" s="13" t="s">
        <v>151</v>
      </c>
      <c r="J94" s="13" t="s">
        <v>152</v>
      </c>
      <c r="K94" s="59" t="s">
        <v>127</v>
      </c>
    </row>
    <row r="95" spans="1:11" x14ac:dyDescent="0.2">
      <c r="A95" s="20" t="s">
        <v>144</v>
      </c>
      <c r="B95" s="55">
        <v>1001</v>
      </c>
      <c r="C95" s="56">
        <v>9822</v>
      </c>
      <c r="D95" s="56" t="s">
        <v>131</v>
      </c>
      <c r="E95" s="49">
        <v>58.3</v>
      </c>
      <c r="F95" s="49">
        <v>98.4</v>
      </c>
      <c r="G95" s="49">
        <f>F95-E95</f>
        <v>40.100000000000009</v>
      </c>
      <c r="H95" s="49">
        <f>IF(F95&gt;50,G95*0.2,G95*0.1)</f>
        <v>8.0200000000000014</v>
      </c>
      <c r="I95" s="13" t="s">
        <v>150</v>
      </c>
      <c r="J95" s="13" t="s">
        <v>11</v>
      </c>
      <c r="K95" s="59" t="s">
        <v>129</v>
      </c>
    </row>
    <row r="96" spans="1:11" x14ac:dyDescent="0.2">
      <c r="A96" s="20" t="s">
        <v>145</v>
      </c>
      <c r="B96" s="55">
        <v>1004</v>
      </c>
      <c r="C96" s="56">
        <v>4421</v>
      </c>
      <c r="D96" s="56" t="s">
        <v>128</v>
      </c>
      <c r="E96" s="49">
        <v>45</v>
      </c>
      <c r="F96" s="49">
        <v>87</v>
      </c>
      <c r="G96" s="49">
        <f>F96-E96</f>
        <v>42</v>
      </c>
      <c r="H96" s="49">
        <f>IF(F96&gt;50,G96*0.2,G96*0.1)</f>
        <v>8.4</v>
      </c>
      <c r="I96" s="13" t="s">
        <v>151</v>
      </c>
      <c r="J96" s="13" t="s">
        <v>152</v>
      </c>
      <c r="K96" s="59" t="s">
        <v>125</v>
      </c>
    </row>
    <row r="97" spans="1:11" x14ac:dyDescent="0.2">
      <c r="A97" s="20" t="s">
        <v>145</v>
      </c>
      <c r="B97" s="55">
        <v>1006</v>
      </c>
      <c r="C97" s="56">
        <v>2499</v>
      </c>
      <c r="D97" s="56" t="s">
        <v>124</v>
      </c>
      <c r="E97" s="49">
        <v>6.2</v>
      </c>
      <c r="F97" s="49">
        <v>9.1999999999999993</v>
      </c>
      <c r="G97" s="49">
        <f>F97-E97</f>
        <v>2.9999999999999991</v>
      </c>
      <c r="H97" s="49">
        <f>IF(F97&gt;50,G97*0.2,G97*0.1)</f>
        <v>0.29999999999999993</v>
      </c>
      <c r="I97" s="13" t="s">
        <v>151</v>
      </c>
      <c r="J97" s="13" t="s">
        <v>152</v>
      </c>
      <c r="K97" s="59" t="s">
        <v>132</v>
      </c>
    </row>
    <row r="98" spans="1:11" x14ac:dyDescent="0.2">
      <c r="A98" s="20" t="s">
        <v>145</v>
      </c>
      <c r="B98" s="55">
        <v>1008</v>
      </c>
      <c r="C98" s="56">
        <v>8722</v>
      </c>
      <c r="D98" s="56" t="s">
        <v>134</v>
      </c>
      <c r="E98" s="49">
        <v>344</v>
      </c>
      <c r="F98" s="49">
        <v>502</v>
      </c>
      <c r="G98" s="49">
        <f>F98-E98</f>
        <v>158</v>
      </c>
      <c r="H98" s="49">
        <f>IF(F98&gt;50,G98*0.2,G98*0.1)</f>
        <v>31.6</v>
      </c>
      <c r="I98" s="13" t="s">
        <v>151</v>
      </c>
      <c r="J98" s="13" t="s">
        <v>152</v>
      </c>
      <c r="K98" s="59" t="s">
        <v>132</v>
      </c>
    </row>
    <row r="99" spans="1:11" x14ac:dyDescent="0.2">
      <c r="A99" s="20" t="s">
        <v>145</v>
      </c>
      <c r="B99" s="55">
        <v>1011</v>
      </c>
      <c r="C99" s="56">
        <v>8722</v>
      </c>
      <c r="D99" s="56" t="s">
        <v>134</v>
      </c>
      <c r="E99" s="49">
        <v>344</v>
      </c>
      <c r="F99" s="49">
        <v>502</v>
      </c>
      <c r="G99" s="49">
        <f>F99-E99</f>
        <v>158</v>
      </c>
      <c r="H99" s="49">
        <f>IF(F99&gt;50,G99*0.2,G99*0.1)</f>
        <v>31.6</v>
      </c>
      <c r="I99" s="13" t="s">
        <v>151</v>
      </c>
      <c r="J99" s="13" t="s">
        <v>152</v>
      </c>
      <c r="K99" s="59" t="s">
        <v>127</v>
      </c>
    </row>
    <row r="100" spans="1:11" x14ac:dyDescent="0.2">
      <c r="A100" s="20" t="s">
        <v>147</v>
      </c>
      <c r="B100" s="55">
        <v>1016</v>
      </c>
      <c r="C100" s="56">
        <v>9822</v>
      </c>
      <c r="D100" s="56" t="s">
        <v>131</v>
      </c>
      <c r="E100" s="49">
        <v>58.3</v>
      </c>
      <c r="F100" s="49">
        <v>98.4</v>
      </c>
      <c r="G100" s="49">
        <f>F100-E100</f>
        <v>40.100000000000009</v>
      </c>
      <c r="H100" s="49">
        <f>IF(F100&gt;50,G100*0.2,G100*0.1)</f>
        <v>8.0200000000000014</v>
      </c>
      <c r="I100" s="13" t="s">
        <v>150</v>
      </c>
      <c r="J100" s="13" t="s">
        <v>11</v>
      </c>
      <c r="K100" s="59" t="s">
        <v>129</v>
      </c>
    </row>
    <row r="101" spans="1:11" x14ac:dyDescent="0.2">
      <c r="A101" s="20" t="s">
        <v>145</v>
      </c>
      <c r="B101" s="55">
        <v>1018</v>
      </c>
      <c r="C101" s="56">
        <v>2242</v>
      </c>
      <c r="D101" s="56" t="s">
        <v>137</v>
      </c>
      <c r="E101" s="49">
        <v>60</v>
      </c>
      <c r="F101" s="49">
        <v>124</v>
      </c>
      <c r="G101" s="49">
        <f>F101-E101</f>
        <v>64</v>
      </c>
      <c r="H101" s="49">
        <f>IF(F101&gt;50,G101*0.2,G101*0.1)</f>
        <v>12.8</v>
      </c>
      <c r="I101" s="13" t="s">
        <v>151</v>
      </c>
      <c r="J101" s="13" t="s">
        <v>152</v>
      </c>
      <c r="K101" s="59" t="s">
        <v>127</v>
      </c>
    </row>
    <row r="102" spans="1:11" x14ac:dyDescent="0.2">
      <c r="A102" s="20" t="s">
        <v>145</v>
      </c>
      <c r="B102" s="55">
        <v>1020</v>
      </c>
      <c r="C102" s="56">
        <v>4421</v>
      </c>
      <c r="D102" s="56" t="s">
        <v>128</v>
      </c>
      <c r="E102" s="49">
        <v>45</v>
      </c>
      <c r="F102" s="49">
        <v>87</v>
      </c>
      <c r="G102" s="49">
        <f>F102-E102</f>
        <v>42</v>
      </c>
      <c r="H102" s="49">
        <f>IF(F102&gt;50,G102*0.2,G102*0.1)</f>
        <v>8.4</v>
      </c>
      <c r="I102" s="13" t="s">
        <v>151</v>
      </c>
      <c r="J102" s="13" t="s">
        <v>152</v>
      </c>
      <c r="K102" s="59" t="s">
        <v>135</v>
      </c>
    </row>
    <row r="103" spans="1:11" x14ac:dyDescent="0.2">
      <c r="A103" s="20" t="s">
        <v>146</v>
      </c>
      <c r="B103" s="55">
        <v>1003</v>
      </c>
      <c r="C103" s="56">
        <v>8722</v>
      </c>
      <c r="D103" s="56" t="s">
        <v>134</v>
      </c>
      <c r="E103" s="49">
        <v>344</v>
      </c>
      <c r="F103" s="49">
        <v>502</v>
      </c>
      <c r="G103" s="49">
        <f>F103-E103</f>
        <v>158</v>
      </c>
      <c r="H103" s="49">
        <f>IF(F103&gt;50,G103*0.2,G103*0.1)</f>
        <v>31.6</v>
      </c>
      <c r="I103" s="13" t="s">
        <v>151</v>
      </c>
      <c r="J103" s="13" t="s">
        <v>152</v>
      </c>
      <c r="K103" s="59" t="s">
        <v>132</v>
      </c>
    </row>
    <row r="104" spans="1:11" x14ac:dyDescent="0.2">
      <c r="A104" s="20" t="s">
        <v>146</v>
      </c>
      <c r="B104" s="55">
        <v>1004</v>
      </c>
      <c r="C104" s="56">
        <v>8722</v>
      </c>
      <c r="D104" s="56" t="s">
        <v>134</v>
      </c>
      <c r="E104" s="49">
        <v>344</v>
      </c>
      <c r="F104" s="49">
        <v>502</v>
      </c>
      <c r="G104" s="49">
        <f>F104-E104</f>
        <v>158</v>
      </c>
      <c r="H104" s="49">
        <f>IF(F104&gt;50,G104*0.2,G104*0.1)</f>
        <v>31.6</v>
      </c>
      <c r="I104" s="13" t="s">
        <v>151</v>
      </c>
      <c r="J104" s="13" t="s">
        <v>152</v>
      </c>
      <c r="K104" s="59" t="s">
        <v>133</v>
      </c>
    </row>
    <row r="105" spans="1:11" x14ac:dyDescent="0.2">
      <c r="A105" s="20" t="s">
        <v>146</v>
      </c>
      <c r="B105" s="55">
        <v>1005</v>
      </c>
      <c r="C105" s="56">
        <v>2242</v>
      </c>
      <c r="D105" s="56" t="s">
        <v>137</v>
      </c>
      <c r="E105" s="49">
        <v>60</v>
      </c>
      <c r="F105" s="49">
        <v>124</v>
      </c>
      <c r="G105" s="49">
        <f>F105-E105</f>
        <v>64</v>
      </c>
      <c r="H105" s="49">
        <f>IF(F105&gt;50,G105*0.2,G105*0.1)</f>
        <v>12.8</v>
      </c>
      <c r="I105" s="13" t="s">
        <v>151</v>
      </c>
      <c r="J105" s="13" t="s">
        <v>152</v>
      </c>
      <c r="K105" s="59" t="s">
        <v>127</v>
      </c>
    </row>
    <row r="106" spans="1:11" x14ac:dyDescent="0.2">
      <c r="A106" s="20" t="s">
        <v>146</v>
      </c>
      <c r="B106" s="55">
        <v>1008</v>
      </c>
      <c r="C106" s="56">
        <v>4421</v>
      </c>
      <c r="D106" s="56" t="s">
        <v>128</v>
      </c>
      <c r="E106" s="49">
        <v>45</v>
      </c>
      <c r="F106" s="49">
        <v>87</v>
      </c>
      <c r="G106" s="49">
        <f>F106-E106</f>
        <v>42</v>
      </c>
      <c r="H106" s="49">
        <f>IF(F106&gt;50,G106*0.2,G106*0.1)</f>
        <v>8.4</v>
      </c>
      <c r="I106" s="13" t="s">
        <v>153</v>
      </c>
      <c r="J106" s="13" t="s">
        <v>154</v>
      </c>
      <c r="K106" s="59" t="s">
        <v>129</v>
      </c>
    </row>
    <row r="107" spans="1:11" x14ac:dyDescent="0.2">
      <c r="A107" s="20" t="s">
        <v>146</v>
      </c>
      <c r="B107" s="55">
        <v>1015</v>
      </c>
      <c r="C107" s="56">
        <v>2242</v>
      </c>
      <c r="D107" s="56" t="s">
        <v>137</v>
      </c>
      <c r="E107" s="49">
        <v>60</v>
      </c>
      <c r="F107" s="49">
        <v>124</v>
      </c>
      <c r="G107" s="49">
        <f>F107-E107</f>
        <v>64</v>
      </c>
      <c r="H107" s="49">
        <f>IF(F107&gt;50,G107*0.2,G107*0.1)</f>
        <v>12.8</v>
      </c>
      <c r="I107" s="13" t="s">
        <v>151</v>
      </c>
      <c r="J107" s="13" t="s">
        <v>152</v>
      </c>
      <c r="K107" s="59" t="s">
        <v>135</v>
      </c>
    </row>
    <row r="108" spans="1:11" x14ac:dyDescent="0.2">
      <c r="A108" s="20" t="s">
        <v>148</v>
      </c>
      <c r="B108" s="55">
        <v>1003</v>
      </c>
      <c r="C108" s="56">
        <v>4421</v>
      </c>
      <c r="D108" s="56" t="s">
        <v>128</v>
      </c>
      <c r="E108" s="49">
        <v>45</v>
      </c>
      <c r="F108" s="49">
        <v>87</v>
      </c>
      <c r="G108" s="49">
        <f>F108-E108</f>
        <v>42</v>
      </c>
      <c r="H108" s="49">
        <f>IF(F108&gt;50,G108*0.2,G108*0.1)</f>
        <v>8.4</v>
      </c>
      <c r="I108" s="13" t="s">
        <v>153</v>
      </c>
      <c r="J108" s="13" t="s">
        <v>154</v>
      </c>
      <c r="K108" s="59" t="s">
        <v>129</v>
      </c>
    </row>
    <row r="109" spans="1:11" x14ac:dyDescent="0.2">
      <c r="A109" s="20" t="s">
        <v>147</v>
      </c>
      <c r="B109" s="55">
        <v>1012</v>
      </c>
      <c r="C109" s="56">
        <v>2242</v>
      </c>
      <c r="D109" s="56" t="s">
        <v>137</v>
      </c>
      <c r="E109" s="49">
        <v>60</v>
      </c>
      <c r="F109" s="49">
        <v>124</v>
      </c>
      <c r="G109" s="49">
        <f>F109-E109</f>
        <v>64</v>
      </c>
      <c r="H109" s="49">
        <f>IF(F109&gt;50,G109*0.2,G109*0.1)</f>
        <v>12.8</v>
      </c>
      <c r="I109" s="13" t="s">
        <v>151</v>
      </c>
      <c r="J109" s="13" t="s">
        <v>152</v>
      </c>
      <c r="K109" s="59" t="s">
        <v>132</v>
      </c>
    </row>
    <row r="110" spans="1:11" x14ac:dyDescent="0.2">
      <c r="A110" s="20" t="s">
        <v>147</v>
      </c>
      <c r="B110" s="55">
        <v>1015</v>
      </c>
      <c r="C110" s="56">
        <v>2242</v>
      </c>
      <c r="D110" s="56" t="s">
        <v>137</v>
      </c>
      <c r="E110" s="49">
        <v>60</v>
      </c>
      <c r="F110" s="49">
        <v>124</v>
      </c>
      <c r="G110" s="49">
        <f>F110-E110</f>
        <v>64</v>
      </c>
      <c r="H110" s="49">
        <f>IF(F110&gt;50,G110*0.2,G110*0.1)</f>
        <v>12.8</v>
      </c>
      <c r="I110" s="13" t="s">
        <v>151</v>
      </c>
      <c r="J110" s="13" t="s">
        <v>152</v>
      </c>
      <c r="K110" s="59" t="s">
        <v>135</v>
      </c>
    </row>
    <row r="111" spans="1:11" x14ac:dyDescent="0.2">
      <c r="A111" s="20" t="s">
        <v>148</v>
      </c>
      <c r="B111" s="55">
        <v>1004</v>
      </c>
      <c r="C111" s="56">
        <v>2499</v>
      </c>
      <c r="D111" s="56" t="s">
        <v>124</v>
      </c>
      <c r="E111" s="49">
        <v>6.2</v>
      </c>
      <c r="F111" s="49">
        <v>9.1999999999999993</v>
      </c>
      <c r="G111" s="49">
        <f>F111-E111</f>
        <v>2.9999999999999991</v>
      </c>
      <c r="H111" s="49">
        <f>IF(F111&gt;50,G111*0.2,G111*0.1)</f>
        <v>0.29999999999999993</v>
      </c>
      <c r="I111" s="13" t="s">
        <v>151</v>
      </c>
      <c r="J111" s="13" t="s">
        <v>152</v>
      </c>
      <c r="K111" s="59" t="s">
        <v>125</v>
      </c>
    </row>
    <row r="112" spans="1:11" x14ac:dyDescent="0.2">
      <c r="A112" s="20" t="s">
        <v>148</v>
      </c>
      <c r="B112" s="55">
        <v>1005</v>
      </c>
      <c r="C112" s="56">
        <v>2499</v>
      </c>
      <c r="D112" s="56" t="s">
        <v>124</v>
      </c>
      <c r="E112" s="49">
        <v>6.2</v>
      </c>
      <c r="F112" s="49">
        <v>9.1999999999999993</v>
      </c>
      <c r="G112" s="49">
        <f>F112-E112</f>
        <v>2.9999999999999991</v>
      </c>
      <c r="H112" s="49">
        <f>IF(F112&gt;50,G112*0.2,G112*0.1)</f>
        <v>0.29999999999999993</v>
      </c>
      <c r="I112" s="13" t="s">
        <v>151</v>
      </c>
      <c r="J112" s="13" t="s">
        <v>152</v>
      </c>
      <c r="K112" s="59" t="s">
        <v>135</v>
      </c>
    </row>
    <row r="113" spans="1:11" x14ac:dyDescent="0.2">
      <c r="A113" s="20" t="s">
        <v>148</v>
      </c>
      <c r="B113" s="55">
        <v>1009</v>
      </c>
      <c r="C113" s="56">
        <v>9121</v>
      </c>
      <c r="D113" s="56" t="s">
        <v>130</v>
      </c>
      <c r="E113" s="49">
        <v>4</v>
      </c>
      <c r="F113" s="49">
        <v>7</v>
      </c>
      <c r="G113" s="49">
        <f>F113-E113</f>
        <v>3</v>
      </c>
      <c r="H113" s="49">
        <f>IF(F113&gt;50,G113*0.2,G113*0.1)</f>
        <v>0.30000000000000004</v>
      </c>
      <c r="I113" s="13" t="s">
        <v>151</v>
      </c>
      <c r="J113" s="13" t="s">
        <v>152</v>
      </c>
      <c r="K113" s="59" t="s">
        <v>135</v>
      </c>
    </row>
    <row r="114" spans="1:11" x14ac:dyDescent="0.2">
      <c r="A114" s="20" t="s">
        <v>148</v>
      </c>
      <c r="B114" s="55">
        <v>1017</v>
      </c>
      <c r="C114" s="56">
        <v>2242</v>
      </c>
      <c r="D114" s="56" t="s">
        <v>137</v>
      </c>
      <c r="E114" s="49">
        <v>60</v>
      </c>
      <c r="F114" s="49">
        <v>124</v>
      </c>
      <c r="G114" s="49">
        <f>F114-E114</f>
        <v>64</v>
      </c>
      <c r="H114" s="49">
        <f>IF(F114&gt;50,G114*0.2,G114*0.1)</f>
        <v>12.8</v>
      </c>
      <c r="I114" s="13" t="s">
        <v>151</v>
      </c>
      <c r="J114" s="13" t="s">
        <v>152</v>
      </c>
      <c r="K114" s="59" t="s">
        <v>127</v>
      </c>
    </row>
    <row r="115" spans="1:11" x14ac:dyDescent="0.2">
      <c r="A115" s="20" t="s">
        <v>123</v>
      </c>
      <c r="B115" s="55">
        <v>1014</v>
      </c>
      <c r="C115" s="56">
        <v>9121</v>
      </c>
      <c r="D115" s="56" t="s">
        <v>130</v>
      </c>
      <c r="E115" s="49">
        <v>4</v>
      </c>
      <c r="F115" s="49">
        <v>7</v>
      </c>
      <c r="G115" s="49">
        <f>F115-E115</f>
        <v>3</v>
      </c>
      <c r="H115" s="49">
        <f>IF(F115&gt;50,G115*0.2,G115*0.1)</f>
        <v>0.30000000000000004</v>
      </c>
      <c r="I115" s="13" t="s">
        <v>155</v>
      </c>
      <c r="J115" s="13" t="s">
        <v>50</v>
      </c>
      <c r="K115" s="59" t="s">
        <v>132</v>
      </c>
    </row>
    <row r="116" spans="1:11" x14ac:dyDescent="0.2">
      <c r="A116" s="20" t="s">
        <v>123</v>
      </c>
      <c r="B116" s="55">
        <v>1016</v>
      </c>
      <c r="C116" s="56">
        <v>2877</v>
      </c>
      <c r="D116" s="56" t="s">
        <v>136</v>
      </c>
      <c r="E116" s="49">
        <v>11.4</v>
      </c>
      <c r="F116" s="49">
        <v>16.3</v>
      </c>
      <c r="G116" s="49">
        <f>F116-E116</f>
        <v>4.9000000000000004</v>
      </c>
      <c r="H116" s="49">
        <f>IF(F116&gt;50,G116*0.2,G116*0.1)</f>
        <v>0.49000000000000005</v>
      </c>
      <c r="I116" s="13" t="s">
        <v>155</v>
      </c>
      <c r="J116" s="13" t="s">
        <v>50</v>
      </c>
      <c r="K116" s="59" t="s">
        <v>135</v>
      </c>
    </row>
    <row r="117" spans="1:11" x14ac:dyDescent="0.2">
      <c r="A117" s="20" t="s">
        <v>123</v>
      </c>
      <c r="B117" s="55">
        <v>1020</v>
      </c>
      <c r="C117" s="56">
        <v>8722</v>
      </c>
      <c r="D117" s="56" t="s">
        <v>134</v>
      </c>
      <c r="E117" s="49">
        <v>344</v>
      </c>
      <c r="F117" s="49">
        <v>502</v>
      </c>
      <c r="G117" s="49">
        <f>F117-E117</f>
        <v>158</v>
      </c>
      <c r="H117" s="49">
        <f>IF(F117&gt;50,G117*0.2,G117*0.1)</f>
        <v>31.6</v>
      </c>
      <c r="I117" s="13" t="s">
        <v>155</v>
      </c>
      <c r="J117" s="13" t="s">
        <v>50</v>
      </c>
      <c r="K117" s="59" t="s">
        <v>135</v>
      </c>
    </row>
    <row r="118" spans="1:11" x14ac:dyDescent="0.2">
      <c r="A118" s="20" t="s">
        <v>138</v>
      </c>
      <c r="B118" s="55">
        <v>1002</v>
      </c>
      <c r="C118" s="56">
        <v>1109</v>
      </c>
      <c r="D118" s="56" t="s">
        <v>126</v>
      </c>
      <c r="E118" s="49">
        <v>3</v>
      </c>
      <c r="F118" s="49">
        <v>8</v>
      </c>
      <c r="G118" s="49">
        <f>F118-E118</f>
        <v>5</v>
      </c>
      <c r="H118" s="49">
        <f>IF(F118&gt;50,G118*0.2,G118*0.1)</f>
        <v>0.5</v>
      </c>
      <c r="I118" s="13" t="s">
        <v>155</v>
      </c>
      <c r="J118" s="13" t="s">
        <v>50</v>
      </c>
      <c r="K118" s="59" t="s">
        <v>125</v>
      </c>
    </row>
    <row r="119" spans="1:11" x14ac:dyDescent="0.2">
      <c r="A119" s="20" t="s">
        <v>138</v>
      </c>
      <c r="B119" s="55">
        <v>1007</v>
      </c>
      <c r="C119" s="56">
        <v>2242</v>
      </c>
      <c r="D119" s="56" t="s">
        <v>137</v>
      </c>
      <c r="E119" s="49">
        <v>60</v>
      </c>
      <c r="F119" s="49">
        <v>124</v>
      </c>
      <c r="G119" s="49">
        <f>F119-E119</f>
        <v>64</v>
      </c>
      <c r="H119" s="49">
        <f>IF(F119&gt;50,G119*0.2,G119*0.1)</f>
        <v>12.8</v>
      </c>
      <c r="I119" s="13" t="s">
        <v>155</v>
      </c>
      <c r="J119" s="13" t="s">
        <v>50</v>
      </c>
      <c r="K119" s="59" t="s">
        <v>135</v>
      </c>
    </row>
    <row r="120" spans="1:11" x14ac:dyDescent="0.2">
      <c r="A120" s="20" t="s">
        <v>138</v>
      </c>
      <c r="B120" s="55">
        <v>1012</v>
      </c>
      <c r="C120" s="56">
        <v>1109</v>
      </c>
      <c r="D120" s="56" t="s">
        <v>126</v>
      </c>
      <c r="E120" s="49">
        <v>3</v>
      </c>
      <c r="F120" s="49">
        <v>8</v>
      </c>
      <c r="G120" s="49">
        <f>F120-E120</f>
        <v>5</v>
      </c>
      <c r="H120" s="49">
        <f>IF(F120&gt;50,G120*0.2,G120*0.1)</f>
        <v>0.5</v>
      </c>
      <c r="I120" s="13" t="s">
        <v>155</v>
      </c>
      <c r="J120" s="13" t="s">
        <v>50</v>
      </c>
      <c r="K120" s="59" t="s">
        <v>133</v>
      </c>
    </row>
    <row r="121" spans="1:11" x14ac:dyDescent="0.2">
      <c r="A121" s="20" t="s">
        <v>138</v>
      </c>
      <c r="B121" s="55">
        <v>1013</v>
      </c>
      <c r="C121" s="56">
        <v>1109</v>
      </c>
      <c r="D121" s="56" t="s">
        <v>126</v>
      </c>
      <c r="E121" s="49">
        <v>3</v>
      </c>
      <c r="F121" s="49">
        <v>8</v>
      </c>
      <c r="G121" s="49">
        <f>F121-E121</f>
        <v>5</v>
      </c>
      <c r="H121" s="49">
        <f>IF(F121&gt;50,G121*0.2,G121*0.1)</f>
        <v>0.5</v>
      </c>
      <c r="I121" s="13" t="s">
        <v>155</v>
      </c>
      <c r="J121" s="13" t="s">
        <v>50</v>
      </c>
      <c r="K121" s="59" t="s">
        <v>125</v>
      </c>
    </row>
    <row r="122" spans="1:11" x14ac:dyDescent="0.2">
      <c r="A122" s="20" t="s">
        <v>138</v>
      </c>
      <c r="B122" s="55">
        <v>1015</v>
      </c>
      <c r="C122" s="56">
        <v>2242</v>
      </c>
      <c r="D122" s="56" t="s">
        <v>137</v>
      </c>
      <c r="E122" s="49">
        <v>60</v>
      </c>
      <c r="F122" s="49">
        <v>124</v>
      </c>
      <c r="G122" s="49">
        <f>F122-E122</f>
        <v>64</v>
      </c>
      <c r="H122" s="49">
        <f>IF(F122&gt;50,G122*0.2,G122*0.1)</f>
        <v>12.8</v>
      </c>
      <c r="I122" s="13" t="s">
        <v>155</v>
      </c>
      <c r="J122" s="13" t="s">
        <v>50</v>
      </c>
      <c r="K122" s="59" t="s">
        <v>125</v>
      </c>
    </row>
    <row r="123" spans="1:11" x14ac:dyDescent="0.2">
      <c r="A123" s="20" t="s">
        <v>138</v>
      </c>
      <c r="B123" s="55">
        <v>1020</v>
      </c>
      <c r="C123" s="56">
        <v>4421</v>
      </c>
      <c r="D123" s="56" t="s">
        <v>128</v>
      </c>
      <c r="E123" s="49">
        <v>45</v>
      </c>
      <c r="F123" s="49">
        <v>87</v>
      </c>
      <c r="G123" s="49">
        <f>F123-E123</f>
        <v>42</v>
      </c>
      <c r="H123" s="49">
        <f>IF(F123&gt;50,G123*0.2,G123*0.1)</f>
        <v>8.4</v>
      </c>
      <c r="I123" s="13" t="s">
        <v>155</v>
      </c>
      <c r="J123" s="13" t="s">
        <v>50</v>
      </c>
      <c r="K123" s="59" t="s">
        <v>132</v>
      </c>
    </row>
    <row r="124" spans="1:11" x14ac:dyDescent="0.2">
      <c r="A124" s="20" t="s">
        <v>142</v>
      </c>
      <c r="B124" s="55">
        <v>1018</v>
      </c>
      <c r="C124" s="56">
        <v>4421</v>
      </c>
      <c r="D124" s="56" t="s">
        <v>128</v>
      </c>
      <c r="E124" s="49">
        <v>45</v>
      </c>
      <c r="F124" s="49">
        <v>87</v>
      </c>
      <c r="G124" s="49">
        <f>F124-E124</f>
        <v>42</v>
      </c>
      <c r="H124" s="49">
        <f>IF(F124&gt;50,G124*0.2,G124*0.1)</f>
        <v>8.4</v>
      </c>
      <c r="I124" s="13" t="s">
        <v>151</v>
      </c>
      <c r="J124" s="13" t="s">
        <v>152</v>
      </c>
      <c r="K124" s="59" t="s">
        <v>129</v>
      </c>
    </row>
    <row r="125" spans="1:11" x14ac:dyDescent="0.2">
      <c r="A125" s="20" t="s">
        <v>139</v>
      </c>
      <c r="B125" s="55">
        <v>1006</v>
      </c>
      <c r="C125" s="56">
        <v>2242</v>
      </c>
      <c r="D125" s="56" t="s">
        <v>137</v>
      </c>
      <c r="E125" s="49">
        <v>60</v>
      </c>
      <c r="F125" s="49">
        <v>124</v>
      </c>
      <c r="G125" s="49">
        <f>F125-E125</f>
        <v>64</v>
      </c>
      <c r="H125" s="49">
        <f>IF(F125&gt;50,G125*0.2,G125*0.1)</f>
        <v>12.8</v>
      </c>
      <c r="I125" s="13" t="s">
        <v>155</v>
      </c>
      <c r="J125" s="13" t="s">
        <v>50</v>
      </c>
      <c r="K125" s="59" t="s">
        <v>125</v>
      </c>
    </row>
    <row r="126" spans="1:11" x14ac:dyDescent="0.2">
      <c r="A126" s="20" t="s">
        <v>139</v>
      </c>
      <c r="B126" s="55">
        <v>1009</v>
      </c>
      <c r="C126" s="56">
        <v>9822</v>
      </c>
      <c r="D126" s="56" t="s">
        <v>131</v>
      </c>
      <c r="E126" s="49">
        <v>58.3</v>
      </c>
      <c r="F126" s="49">
        <v>98.4</v>
      </c>
      <c r="G126" s="49">
        <f>F126-E126</f>
        <v>40.100000000000009</v>
      </c>
      <c r="H126" s="49">
        <f>IF(F126&gt;50,G126*0.2,G126*0.1)</f>
        <v>8.0200000000000014</v>
      </c>
      <c r="I126" s="13" t="s">
        <v>155</v>
      </c>
      <c r="J126" s="13" t="s">
        <v>50</v>
      </c>
      <c r="K126" s="59" t="s">
        <v>132</v>
      </c>
    </row>
    <row r="127" spans="1:11" x14ac:dyDescent="0.2">
      <c r="A127" s="20" t="s">
        <v>139</v>
      </c>
      <c r="B127" s="55">
        <v>1011</v>
      </c>
      <c r="C127" s="56">
        <v>9822</v>
      </c>
      <c r="D127" s="56" t="s">
        <v>131</v>
      </c>
      <c r="E127" s="49">
        <v>58.3</v>
      </c>
      <c r="F127" s="49">
        <v>98.4</v>
      </c>
      <c r="G127" s="49">
        <f>F127-E127</f>
        <v>40.100000000000009</v>
      </c>
      <c r="H127" s="49">
        <f>IF(F127&gt;50,G127*0.2,G127*0.1)</f>
        <v>8.0200000000000014</v>
      </c>
      <c r="I127" s="13" t="s">
        <v>155</v>
      </c>
      <c r="J127" s="13" t="s">
        <v>50</v>
      </c>
      <c r="K127" s="59" t="s">
        <v>135</v>
      </c>
    </row>
    <row r="128" spans="1:11" x14ac:dyDescent="0.2">
      <c r="A128" s="20" t="s">
        <v>139</v>
      </c>
      <c r="B128" s="55">
        <v>1012</v>
      </c>
      <c r="C128" s="56">
        <v>9822</v>
      </c>
      <c r="D128" s="56" t="s">
        <v>131</v>
      </c>
      <c r="E128" s="49">
        <v>58.3</v>
      </c>
      <c r="F128" s="49">
        <v>98.4</v>
      </c>
      <c r="G128" s="49">
        <f>F128-E128</f>
        <v>40.100000000000009</v>
      </c>
      <c r="H128" s="49">
        <f>IF(F128&gt;50,G128*0.2,G128*0.1)</f>
        <v>8.0200000000000014</v>
      </c>
      <c r="I128" s="13" t="s">
        <v>155</v>
      </c>
      <c r="J128" s="13" t="s">
        <v>50</v>
      </c>
      <c r="K128" s="59" t="s">
        <v>125</v>
      </c>
    </row>
    <row r="129" spans="1:11" x14ac:dyDescent="0.2">
      <c r="A129" s="20" t="s">
        <v>139</v>
      </c>
      <c r="B129" s="55">
        <v>1016</v>
      </c>
      <c r="C129" s="56">
        <v>9121</v>
      </c>
      <c r="D129" s="56" t="s">
        <v>130</v>
      </c>
      <c r="E129" s="49">
        <v>4</v>
      </c>
      <c r="F129" s="49">
        <v>7</v>
      </c>
      <c r="G129" s="49">
        <f>F129-E129</f>
        <v>3</v>
      </c>
      <c r="H129" s="49">
        <f>IF(F129&gt;50,G129*0.2,G129*0.1)</f>
        <v>0.30000000000000004</v>
      </c>
      <c r="I129" s="13" t="s">
        <v>155</v>
      </c>
      <c r="J129" s="13" t="s">
        <v>50</v>
      </c>
      <c r="K129" s="59" t="s">
        <v>127</v>
      </c>
    </row>
    <row r="130" spans="1:11" x14ac:dyDescent="0.2">
      <c r="A130" s="20" t="s">
        <v>139</v>
      </c>
      <c r="B130" s="55">
        <v>1020</v>
      </c>
      <c r="C130" s="56">
        <v>9121</v>
      </c>
      <c r="D130" s="56" t="s">
        <v>130</v>
      </c>
      <c r="E130" s="49">
        <v>4</v>
      </c>
      <c r="F130" s="49">
        <v>7</v>
      </c>
      <c r="G130" s="49">
        <f>F130-E130</f>
        <v>3</v>
      </c>
      <c r="H130" s="49">
        <f>IF(F130&gt;50,G130*0.2,G130*0.1)</f>
        <v>0.30000000000000004</v>
      </c>
      <c r="I130" s="13" t="s">
        <v>155</v>
      </c>
      <c r="J130" s="13" t="s">
        <v>50</v>
      </c>
      <c r="K130" s="59" t="s">
        <v>125</v>
      </c>
    </row>
    <row r="131" spans="1:11" x14ac:dyDescent="0.2">
      <c r="A131" s="20" t="s">
        <v>147</v>
      </c>
      <c r="B131" s="55">
        <v>1004</v>
      </c>
      <c r="C131" s="56">
        <v>4421</v>
      </c>
      <c r="D131" s="56" t="s">
        <v>128</v>
      </c>
      <c r="E131" s="49">
        <v>45</v>
      </c>
      <c r="F131" s="49">
        <v>87</v>
      </c>
      <c r="G131" s="49">
        <f>F131-E131</f>
        <v>42</v>
      </c>
      <c r="H131" s="49">
        <f>IF(F131&gt;50,G131*0.2,G131*0.1)</f>
        <v>8.4</v>
      </c>
      <c r="I131" s="13" t="s">
        <v>151</v>
      </c>
      <c r="J131" s="13" t="s">
        <v>152</v>
      </c>
      <c r="K131" s="59" t="s">
        <v>129</v>
      </c>
    </row>
    <row r="132" spans="1:11" x14ac:dyDescent="0.2">
      <c r="A132" s="20" t="s">
        <v>140</v>
      </c>
      <c r="B132" s="55">
        <v>1004</v>
      </c>
      <c r="C132" s="56">
        <v>1109</v>
      </c>
      <c r="D132" s="56" t="s">
        <v>126</v>
      </c>
      <c r="E132" s="49">
        <v>3</v>
      </c>
      <c r="F132" s="49">
        <v>8</v>
      </c>
      <c r="G132" s="49">
        <f>F132-E132</f>
        <v>5</v>
      </c>
      <c r="H132" s="49">
        <f>IF(F132&gt;50,G132*0.2,G132*0.1)</f>
        <v>0.5</v>
      </c>
      <c r="I132" s="13" t="s">
        <v>155</v>
      </c>
      <c r="J132" s="13" t="s">
        <v>50</v>
      </c>
      <c r="K132" s="59" t="s">
        <v>132</v>
      </c>
    </row>
    <row r="133" spans="1:11" x14ac:dyDescent="0.2">
      <c r="A133" s="20" t="s">
        <v>140</v>
      </c>
      <c r="B133" s="55">
        <v>1007</v>
      </c>
      <c r="C133" s="56">
        <v>9121</v>
      </c>
      <c r="D133" s="56" t="s">
        <v>130</v>
      </c>
      <c r="E133" s="49">
        <v>4</v>
      </c>
      <c r="F133" s="49">
        <v>7</v>
      </c>
      <c r="G133" s="49">
        <f>F133-E133</f>
        <v>3</v>
      </c>
      <c r="H133" s="49">
        <f>IF(F133&gt;50,G133*0.2,G133*0.1)</f>
        <v>0.30000000000000004</v>
      </c>
      <c r="I133" s="13" t="s">
        <v>155</v>
      </c>
      <c r="J133" s="13" t="s">
        <v>50</v>
      </c>
      <c r="K133" s="59" t="s">
        <v>127</v>
      </c>
    </row>
    <row r="134" spans="1:11" x14ac:dyDescent="0.2">
      <c r="A134" s="20" t="s">
        <v>140</v>
      </c>
      <c r="B134" s="55">
        <v>1010</v>
      </c>
      <c r="C134" s="56">
        <v>1109</v>
      </c>
      <c r="D134" s="56" t="s">
        <v>126</v>
      </c>
      <c r="E134" s="49">
        <v>3</v>
      </c>
      <c r="F134" s="49">
        <v>8</v>
      </c>
      <c r="G134" s="49">
        <f>F134-E134</f>
        <v>5</v>
      </c>
      <c r="H134" s="49">
        <f>IF(F134&gt;50,G134*0.2,G134*0.1)</f>
        <v>0.5</v>
      </c>
      <c r="I134" s="13" t="s">
        <v>155</v>
      </c>
      <c r="J134" s="13" t="s">
        <v>50</v>
      </c>
      <c r="K134" s="59" t="s">
        <v>132</v>
      </c>
    </row>
    <row r="135" spans="1:11" x14ac:dyDescent="0.2">
      <c r="A135" s="20" t="s">
        <v>140</v>
      </c>
      <c r="B135" s="55">
        <v>1016</v>
      </c>
      <c r="C135" s="56">
        <v>2499</v>
      </c>
      <c r="D135" s="56" t="s">
        <v>124</v>
      </c>
      <c r="E135" s="49">
        <v>6.2</v>
      </c>
      <c r="F135" s="49">
        <v>9.1999999999999993</v>
      </c>
      <c r="G135" s="49">
        <f>F135-E135</f>
        <v>2.9999999999999991</v>
      </c>
      <c r="H135" s="49">
        <f>IF(F135&gt;50,G135*0.2,G135*0.1)</f>
        <v>0.29999999999999993</v>
      </c>
      <c r="I135" s="13" t="s">
        <v>155</v>
      </c>
      <c r="J135" s="13" t="s">
        <v>50</v>
      </c>
      <c r="K135" s="59" t="s">
        <v>132</v>
      </c>
    </row>
    <row r="136" spans="1:11" x14ac:dyDescent="0.2">
      <c r="A136" s="20" t="s">
        <v>141</v>
      </c>
      <c r="B136" s="55">
        <v>1007</v>
      </c>
      <c r="C136" s="56">
        <v>2877</v>
      </c>
      <c r="D136" s="56" t="s">
        <v>136</v>
      </c>
      <c r="E136" s="49">
        <v>11.4</v>
      </c>
      <c r="F136" s="49">
        <v>16.3</v>
      </c>
      <c r="G136" s="49">
        <f>F136-E136</f>
        <v>4.9000000000000004</v>
      </c>
      <c r="H136" s="49">
        <f>IF(F136&gt;50,G136*0.2,G136*0.1)</f>
        <v>0.49000000000000005</v>
      </c>
      <c r="I136" s="13" t="s">
        <v>155</v>
      </c>
      <c r="J136" s="13" t="s">
        <v>50</v>
      </c>
      <c r="K136" s="59" t="s">
        <v>133</v>
      </c>
    </row>
    <row r="137" spans="1:11" x14ac:dyDescent="0.2">
      <c r="A137" s="20" t="s">
        <v>141</v>
      </c>
      <c r="B137" s="55">
        <v>1010</v>
      </c>
      <c r="C137" s="56">
        <v>2499</v>
      </c>
      <c r="D137" s="56" t="s">
        <v>124</v>
      </c>
      <c r="E137" s="49">
        <v>6.2</v>
      </c>
      <c r="F137" s="49">
        <v>9.1999999999999993</v>
      </c>
      <c r="G137" s="49">
        <f>F137-E137</f>
        <v>2.9999999999999991</v>
      </c>
      <c r="H137" s="49">
        <f>IF(F137&gt;50,G137*0.2,G137*0.1)</f>
        <v>0.29999999999999993</v>
      </c>
      <c r="I137" s="13" t="s">
        <v>155</v>
      </c>
      <c r="J137" s="13" t="s">
        <v>50</v>
      </c>
      <c r="K137" s="59" t="s">
        <v>133</v>
      </c>
    </row>
    <row r="138" spans="1:11" x14ac:dyDescent="0.2">
      <c r="A138" s="20" t="s">
        <v>141</v>
      </c>
      <c r="B138" s="55">
        <v>1011</v>
      </c>
      <c r="C138" s="56">
        <v>4421</v>
      </c>
      <c r="D138" s="56" t="s">
        <v>128</v>
      </c>
      <c r="E138" s="49">
        <v>45</v>
      </c>
      <c r="F138" s="49">
        <v>87</v>
      </c>
      <c r="G138" s="49">
        <f>F138-E138</f>
        <v>42</v>
      </c>
      <c r="H138" s="49">
        <f>IF(F138&gt;50,G138*0.2,G138*0.1)</f>
        <v>8.4</v>
      </c>
      <c r="I138" s="13" t="s">
        <v>155</v>
      </c>
      <c r="J138" s="13" t="s">
        <v>50</v>
      </c>
      <c r="K138" s="59" t="s">
        <v>127</v>
      </c>
    </row>
    <row r="139" spans="1:11" x14ac:dyDescent="0.2">
      <c r="A139" s="20" t="s">
        <v>141</v>
      </c>
      <c r="B139" s="55">
        <v>1015</v>
      </c>
      <c r="C139" s="56">
        <v>1109</v>
      </c>
      <c r="D139" s="56" t="s">
        <v>126</v>
      </c>
      <c r="E139" s="49">
        <v>3</v>
      </c>
      <c r="F139" s="49">
        <v>8</v>
      </c>
      <c r="G139" s="49">
        <f>F139-E139</f>
        <v>5</v>
      </c>
      <c r="H139" s="49">
        <f>IF(F139&gt;50,G139*0.2,G139*0.1)</f>
        <v>0.5</v>
      </c>
      <c r="I139" s="13" t="s">
        <v>155</v>
      </c>
      <c r="J139" s="13" t="s">
        <v>50</v>
      </c>
      <c r="K139" s="59" t="s">
        <v>127</v>
      </c>
    </row>
    <row r="140" spans="1:11" x14ac:dyDescent="0.2">
      <c r="A140" s="20" t="s">
        <v>145</v>
      </c>
      <c r="B140" s="55">
        <v>1007</v>
      </c>
      <c r="C140" s="56">
        <v>4421</v>
      </c>
      <c r="D140" s="56" t="s">
        <v>128</v>
      </c>
      <c r="E140" s="49">
        <v>45</v>
      </c>
      <c r="F140" s="49">
        <v>87</v>
      </c>
      <c r="G140" s="49">
        <f>F140-E140</f>
        <v>42</v>
      </c>
      <c r="H140" s="49">
        <f>IF(F140&gt;50,G140*0.2,G140*0.1)</f>
        <v>8.4</v>
      </c>
      <c r="I140" s="13" t="s">
        <v>155</v>
      </c>
      <c r="J140" s="13" t="s">
        <v>50</v>
      </c>
      <c r="K140" s="59" t="s">
        <v>129</v>
      </c>
    </row>
    <row r="141" spans="1:11" x14ac:dyDescent="0.2">
      <c r="A141" s="20" t="s">
        <v>141</v>
      </c>
      <c r="B141" s="55">
        <v>1020</v>
      </c>
      <c r="C141" s="56">
        <v>2499</v>
      </c>
      <c r="D141" s="56" t="s">
        <v>124</v>
      </c>
      <c r="E141" s="49">
        <v>6.2</v>
      </c>
      <c r="F141" s="49">
        <v>9.1999999999999993</v>
      </c>
      <c r="G141" s="49">
        <f>F141-E141</f>
        <v>2.9999999999999991</v>
      </c>
      <c r="H141" s="49">
        <f>IF(F141&gt;50,G141*0.2,G141*0.1)</f>
        <v>0.29999999999999993</v>
      </c>
      <c r="I141" s="13" t="s">
        <v>155</v>
      </c>
      <c r="J141" s="13" t="s">
        <v>50</v>
      </c>
      <c r="K141" s="59" t="s">
        <v>133</v>
      </c>
    </row>
    <row r="142" spans="1:11" x14ac:dyDescent="0.2">
      <c r="A142" s="20" t="s">
        <v>142</v>
      </c>
      <c r="B142" s="55">
        <v>1003</v>
      </c>
      <c r="C142" s="56">
        <v>2242</v>
      </c>
      <c r="D142" s="56" t="s">
        <v>137</v>
      </c>
      <c r="E142" s="49">
        <v>60</v>
      </c>
      <c r="F142" s="49">
        <v>124</v>
      </c>
      <c r="G142" s="49">
        <f>F142-E142</f>
        <v>64</v>
      </c>
      <c r="H142" s="49">
        <f>IF(F142&gt;50,G142*0.2,G142*0.1)</f>
        <v>12.8</v>
      </c>
      <c r="I142" s="13" t="s">
        <v>155</v>
      </c>
      <c r="J142" s="13" t="s">
        <v>50</v>
      </c>
      <c r="K142" s="59" t="s">
        <v>125</v>
      </c>
    </row>
    <row r="143" spans="1:11" x14ac:dyDescent="0.2">
      <c r="A143" s="20" t="s">
        <v>142</v>
      </c>
      <c r="B143" s="55">
        <v>1007</v>
      </c>
      <c r="C143" s="56">
        <v>4421</v>
      </c>
      <c r="D143" s="56" t="s">
        <v>128</v>
      </c>
      <c r="E143" s="49">
        <v>45</v>
      </c>
      <c r="F143" s="49">
        <v>87</v>
      </c>
      <c r="G143" s="49">
        <f>F143-E143</f>
        <v>42</v>
      </c>
      <c r="H143" s="49">
        <f>IF(F143&gt;50,G143*0.2,G143*0.1)</f>
        <v>8.4</v>
      </c>
      <c r="I143" s="13" t="s">
        <v>155</v>
      </c>
      <c r="J143" s="13" t="s">
        <v>50</v>
      </c>
      <c r="K143" s="59" t="s">
        <v>125</v>
      </c>
    </row>
    <row r="144" spans="1:11" x14ac:dyDescent="0.2">
      <c r="A144" s="20" t="s">
        <v>142</v>
      </c>
      <c r="B144" s="55">
        <v>1009</v>
      </c>
      <c r="C144" s="56">
        <v>4421</v>
      </c>
      <c r="D144" s="56" t="s">
        <v>128</v>
      </c>
      <c r="E144" s="49">
        <v>45</v>
      </c>
      <c r="F144" s="49">
        <v>87</v>
      </c>
      <c r="G144" s="49">
        <f>F144-E144</f>
        <v>42</v>
      </c>
      <c r="H144" s="49">
        <f>IF(F144&gt;50,G144*0.2,G144*0.1)</f>
        <v>8.4</v>
      </c>
      <c r="I144" s="13" t="s">
        <v>155</v>
      </c>
      <c r="J144" s="13" t="s">
        <v>50</v>
      </c>
      <c r="K144" s="59" t="s">
        <v>135</v>
      </c>
    </row>
    <row r="145" spans="1:11" x14ac:dyDescent="0.2">
      <c r="A145" s="20" t="s">
        <v>145</v>
      </c>
      <c r="B145" s="55">
        <v>1016</v>
      </c>
      <c r="C145" s="56">
        <v>4421</v>
      </c>
      <c r="D145" s="56" t="s">
        <v>128</v>
      </c>
      <c r="E145" s="49">
        <v>45</v>
      </c>
      <c r="F145" s="49">
        <v>87</v>
      </c>
      <c r="G145" s="49">
        <f>F145-E145</f>
        <v>42</v>
      </c>
      <c r="H145" s="49">
        <f>IF(F145&gt;50,G145*0.2,G145*0.1)</f>
        <v>8.4</v>
      </c>
      <c r="I145" s="13" t="s">
        <v>155</v>
      </c>
      <c r="J145" s="13" t="s">
        <v>50</v>
      </c>
      <c r="K145" s="59" t="s">
        <v>129</v>
      </c>
    </row>
    <row r="146" spans="1:11" x14ac:dyDescent="0.2">
      <c r="A146" s="20" t="s">
        <v>143</v>
      </c>
      <c r="B146" s="55">
        <v>1001</v>
      </c>
      <c r="C146" s="56">
        <v>9121</v>
      </c>
      <c r="D146" s="56" t="s">
        <v>130</v>
      </c>
      <c r="E146" s="49">
        <v>4</v>
      </c>
      <c r="F146" s="49">
        <v>7</v>
      </c>
      <c r="G146" s="49">
        <f>F146-E146</f>
        <v>3</v>
      </c>
      <c r="H146" s="49">
        <f>IF(F146&gt;50,G146*0.2,G146*0.1)</f>
        <v>0.30000000000000004</v>
      </c>
      <c r="I146" s="13" t="s">
        <v>155</v>
      </c>
      <c r="J146" s="13" t="s">
        <v>50</v>
      </c>
      <c r="K146" s="59" t="s">
        <v>135</v>
      </c>
    </row>
    <row r="147" spans="1:11" x14ac:dyDescent="0.2">
      <c r="A147" s="20" t="s">
        <v>146</v>
      </c>
      <c r="B147" s="55">
        <v>1018</v>
      </c>
      <c r="C147" s="56">
        <v>4421</v>
      </c>
      <c r="D147" s="56" t="s">
        <v>128</v>
      </c>
      <c r="E147" s="49">
        <v>45</v>
      </c>
      <c r="F147" s="49">
        <v>87</v>
      </c>
      <c r="G147" s="49">
        <f>F147-E147</f>
        <v>42</v>
      </c>
      <c r="H147" s="49">
        <f>IF(F147&gt;50,G147*0.2,G147*0.1)</f>
        <v>8.4</v>
      </c>
      <c r="I147" s="13" t="s">
        <v>155</v>
      </c>
      <c r="J147" s="13" t="s">
        <v>50</v>
      </c>
      <c r="K147" s="59" t="s">
        <v>129</v>
      </c>
    </row>
    <row r="148" spans="1:11" x14ac:dyDescent="0.2">
      <c r="A148" s="20" t="s">
        <v>143</v>
      </c>
      <c r="B148" s="55">
        <v>1004</v>
      </c>
      <c r="C148" s="56">
        <v>9121</v>
      </c>
      <c r="D148" s="56" t="s">
        <v>130</v>
      </c>
      <c r="E148" s="49">
        <v>4</v>
      </c>
      <c r="F148" s="49">
        <v>7</v>
      </c>
      <c r="G148" s="49">
        <f>F148-E148</f>
        <v>3</v>
      </c>
      <c r="H148" s="49">
        <f>IF(F148&gt;50,G148*0.2,G148*0.1)</f>
        <v>0.30000000000000004</v>
      </c>
      <c r="I148" s="13" t="s">
        <v>155</v>
      </c>
      <c r="J148" s="13" t="s">
        <v>50</v>
      </c>
      <c r="K148" s="59" t="s">
        <v>133</v>
      </c>
    </row>
    <row r="149" spans="1:11" x14ac:dyDescent="0.2">
      <c r="A149" s="20" t="s">
        <v>143</v>
      </c>
      <c r="B149" s="55">
        <v>1005</v>
      </c>
      <c r="C149" s="56">
        <v>9822</v>
      </c>
      <c r="D149" s="56" t="s">
        <v>131</v>
      </c>
      <c r="E149" s="49">
        <v>58.3</v>
      </c>
      <c r="F149" s="49">
        <v>98.4</v>
      </c>
      <c r="G149" s="49">
        <f>F149-E149</f>
        <v>40.100000000000009</v>
      </c>
      <c r="H149" s="49">
        <f>IF(F149&gt;50,G149*0.2,G149*0.1)</f>
        <v>8.0200000000000014</v>
      </c>
      <c r="I149" s="13" t="s">
        <v>155</v>
      </c>
      <c r="J149" s="13" t="s">
        <v>50</v>
      </c>
      <c r="K149" s="59" t="s">
        <v>132</v>
      </c>
    </row>
    <row r="150" spans="1:11" x14ac:dyDescent="0.2">
      <c r="A150" s="20" t="s">
        <v>143</v>
      </c>
      <c r="B150" s="55">
        <v>1009</v>
      </c>
      <c r="C150" s="56">
        <v>8722</v>
      </c>
      <c r="D150" s="56" t="s">
        <v>134</v>
      </c>
      <c r="E150" s="49">
        <v>344</v>
      </c>
      <c r="F150" s="49">
        <v>502</v>
      </c>
      <c r="G150" s="49">
        <f>F150-E150</f>
        <v>158</v>
      </c>
      <c r="H150" s="49">
        <f>IF(F150&gt;50,G150*0.2,G150*0.1)</f>
        <v>31.6</v>
      </c>
      <c r="I150" s="13" t="s">
        <v>155</v>
      </c>
      <c r="J150" s="13" t="s">
        <v>50</v>
      </c>
      <c r="K150" s="59" t="s">
        <v>132</v>
      </c>
    </row>
    <row r="151" spans="1:11" x14ac:dyDescent="0.2">
      <c r="A151" s="20" t="s">
        <v>143</v>
      </c>
      <c r="B151" s="55">
        <v>1014</v>
      </c>
      <c r="C151" s="56">
        <v>2499</v>
      </c>
      <c r="D151" s="56" t="s">
        <v>124</v>
      </c>
      <c r="E151" s="49">
        <v>6.2</v>
      </c>
      <c r="F151" s="49">
        <v>9.1999999999999993</v>
      </c>
      <c r="G151" s="49">
        <f>F151-E151</f>
        <v>2.9999999999999991</v>
      </c>
      <c r="H151" s="49">
        <f>IF(F151&gt;50,G151*0.2,G151*0.1)</f>
        <v>0.29999999999999993</v>
      </c>
      <c r="I151" s="13" t="s">
        <v>155</v>
      </c>
      <c r="J151" s="13" t="s">
        <v>50</v>
      </c>
      <c r="K151" s="59" t="s">
        <v>125</v>
      </c>
    </row>
    <row r="152" spans="1:11" x14ac:dyDescent="0.2">
      <c r="A152" s="20" t="s">
        <v>143</v>
      </c>
      <c r="B152" s="55">
        <v>1017</v>
      </c>
      <c r="C152" s="56">
        <v>8722</v>
      </c>
      <c r="D152" s="56" t="s">
        <v>134</v>
      </c>
      <c r="E152" s="49">
        <v>344</v>
      </c>
      <c r="F152" s="49">
        <v>502</v>
      </c>
      <c r="G152" s="49">
        <f>F152-E152</f>
        <v>158</v>
      </c>
      <c r="H152" s="49">
        <f>IF(F152&gt;50,G152*0.2,G152*0.1)</f>
        <v>31.6</v>
      </c>
      <c r="I152" s="13" t="s">
        <v>155</v>
      </c>
      <c r="J152" s="13" t="s">
        <v>50</v>
      </c>
      <c r="K152" s="59" t="s">
        <v>133</v>
      </c>
    </row>
    <row r="153" spans="1:11" x14ac:dyDescent="0.2">
      <c r="A153" s="20" t="s">
        <v>143</v>
      </c>
      <c r="B153" s="55">
        <v>1019</v>
      </c>
      <c r="C153" s="56">
        <v>2499</v>
      </c>
      <c r="D153" s="56" t="s">
        <v>124</v>
      </c>
      <c r="E153" s="49">
        <v>6.2</v>
      </c>
      <c r="F153" s="49">
        <v>9.1999999999999993</v>
      </c>
      <c r="G153" s="49">
        <f>F153-E153</f>
        <v>2.9999999999999991</v>
      </c>
      <c r="H153" s="49">
        <f>IF(F153&gt;50,G153*0.2,G153*0.1)</f>
        <v>0.29999999999999993</v>
      </c>
      <c r="I153" s="13" t="s">
        <v>155</v>
      </c>
      <c r="J153" s="13" t="s">
        <v>50</v>
      </c>
      <c r="K153" s="59" t="s">
        <v>133</v>
      </c>
    </row>
    <row r="154" spans="1:11" x14ac:dyDescent="0.2">
      <c r="A154" s="20" t="s">
        <v>144</v>
      </c>
      <c r="B154" s="55">
        <v>1004</v>
      </c>
      <c r="C154" s="56">
        <v>9121</v>
      </c>
      <c r="D154" s="56" t="s">
        <v>130</v>
      </c>
      <c r="E154" s="49">
        <v>4</v>
      </c>
      <c r="F154" s="49">
        <v>7</v>
      </c>
      <c r="G154" s="49">
        <f>F154-E154</f>
        <v>3</v>
      </c>
      <c r="H154" s="49">
        <f>IF(F154&gt;50,G154*0.2,G154*0.1)</f>
        <v>0.30000000000000004</v>
      </c>
      <c r="I154" s="13" t="s">
        <v>155</v>
      </c>
      <c r="J154" s="13" t="s">
        <v>50</v>
      </c>
      <c r="K154" s="59" t="s">
        <v>127</v>
      </c>
    </row>
    <row r="155" spans="1:11" x14ac:dyDescent="0.2">
      <c r="A155" s="20" t="s">
        <v>144</v>
      </c>
      <c r="B155" s="55">
        <v>1013</v>
      </c>
      <c r="C155" s="56">
        <v>2499</v>
      </c>
      <c r="D155" s="56" t="s">
        <v>124</v>
      </c>
      <c r="E155" s="49">
        <v>6.2</v>
      </c>
      <c r="F155" s="49">
        <v>9.1999999999999993</v>
      </c>
      <c r="G155" s="49">
        <f>F155-E155</f>
        <v>2.9999999999999991</v>
      </c>
      <c r="H155" s="49">
        <f>IF(F155&gt;50,G155*0.2,G155*0.1)</f>
        <v>0.29999999999999993</v>
      </c>
      <c r="I155" s="13" t="s">
        <v>155</v>
      </c>
      <c r="J155" s="13" t="s">
        <v>50</v>
      </c>
      <c r="K155" s="59" t="s">
        <v>133</v>
      </c>
    </row>
    <row r="156" spans="1:11" x14ac:dyDescent="0.2">
      <c r="A156" s="20" t="s">
        <v>123</v>
      </c>
      <c r="B156" s="55">
        <v>1003</v>
      </c>
      <c r="C156" s="56">
        <v>4421</v>
      </c>
      <c r="D156" s="56" t="s">
        <v>128</v>
      </c>
      <c r="E156" s="49">
        <v>45</v>
      </c>
      <c r="F156" s="49">
        <v>87</v>
      </c>
      <c r="G156" s="49">
        <f>F156-E156</f>
        <v>42</v>
      </c>
      <c r="H156" s="49">
        <f>IF(F156&gt;50,G156*0.2,G156*0.1)</f>
        <v>8.4</v>
      </c>
      <c r="I156" s="13" t="s">
        <v>150</v>
      </c>
      <c r="J156" s="13" t="s">
        <v>11</v>
      </c>
      <c r="K156" s="59" t="s">
        <v>129</v>
      </c>
    </row>
    <row r="157" spans="1:11" x14ac:dyDescent="0.2">
      <c r="A157" s="20" t="s">
        <v>140</v>
      </c>
      <c r="B157" s="55">
        <v>1008</v>
      </c>
      <c r="C157" s="56">
        <v>4421</v>
      </c>
      <c r="D157" s="56" t="s">
        <v>128</v>
      </c>
      <c r="E157" s="49">
        <v>45</v>
      </c>
      <c r="F157" s="49">
        <v>87</v>
      </c>
      <c r="G157" s="49">
        <f>F157-E157</f>
        <v>42</v>
      </c>
      <c r="H157" s="49">
        <f>IF(F157&gt;50,G157*0.2,G157*0.1)</f>
        <v>8.4</v>
      </c>
      <c r="I157" s="13" t="s">
        <v>150</v>
      </c>
      <c r="J157" s="13" t="s">
        <v>11</v>
      </c>
      <c r="K157" s="59" t="s">
        <v>129</v>
      </c>
    </row>
    <row r="158" spans="1:11" x14ac:dyDescent="0.2">
      <c r="A158" s="20" t="s">
        <v>140</v>
      </c>
      <c r="B158" s="55">
        <v>1020</v>
      </c>
      <c r="C158" s="56">
        <v>4421</v>
      </c>
      <c r="D158" s="56" t="s">
        <v>128</v>
      </c>
      <c r="E158" s="49">
        <v>45</v>
      </c>
      <c r="F158" s="49">
        <v>87</v>
      </c>
      <c r="G158" s="49">
        <f>F158-E158</f>
        <v>42</v>
      </c>
      <c r="H158" s="49">
        <f>IF(F158&gt;50,G158*0.2,G158*0.1)</f>
        <v>8.4</v>
      </c>
      <c r="I158" s="13" t="s">
        <v>150</v>
      </c>
      <c r="J158" s="13" t="s">
        <v>11</v>
      </c>
      <c r="K158" s="59" t="s">
        <v>129</v>
      </c>
    </row>
    <row r="159" spans="1:11" x14ac:dyDescent="0.2">
      <c r="A159" s="20" t="s">
        <v>142</v>
      </c>
      <c r="B159" s="55">
        <v>1011</v>
      </c>
      <c r="C159" s="56">
        <v>4421</v>
      </c>
      <c r="D159" s="56" t="s">
        <v>128</v>
      </c>
      <c r="E159" s="49">
        <v>45</v>
      </c>
      <c r="F159" s="49">
        <v>87</v>
      </c>
      <c r="G159" s="49">
        <f>F159-E159</f>
        <v>42</v>
      </c>
      <c r="H159" s="49">
        <f>IF(F159&gt;50,G159*0.2,G159*0.1)</f>
        <v>8.4</v>
      </c>
      <c r="I159" s="13" t="s">
        <v>150</v>
      </c>
      <c r="J159" s="13" t="s">
        <v>11</v>
      </c>
      <c r="K159" s="59" t="s">
        <v>129</v>
      </c>
    </row>
    <row r="160" spans="1:11" x14ac:dyDescent="0.2">
      <c r="A160" s="20" t="s">
        <v>146</v>
      </c>
      <c r="B160" s="55">
        <v>1006</v>
      </c>
      <c r="C160" s="56">
        <v>9121</v>
      </c>
      <c r="D160" s="56" t="s">
        <v>130</v>
      </c>
      <c r="E160" s="49">
        <v>4</v>
      </c>
      <c r="F160" s="49">
        <v>7</v>
      </c>
      <c r="G160" s="49">
        <f>F160-E160</f>
        <v>3</v>
      </c>
      <c r="H160" s="49">
        <f>IF(F160&gt;50,G160*0.2,G160*0.1)</f>
        <v>0.30000000000000004</v>
      </c>
      <c r="I160" s="13" t="s">
        <v>155</v>
      </c>
      <c r="J160" s="13" t="s">
        <v>50</v>
      </c>
      <c r="K160" s="59" t="s">
        <v>125</v>
      </c>
    </row>
    <row r="161" spans="1:11" x14ac:dyDescent="0.2">
      <c r="A161" s="20" t="s">
        <v>146</v>
      </c>
      <c r="B161" s="55">
        <v>1007</v>
      </c>
      <c r="C161" s="56">
        <v>4421</v>
      </c>
      <c r="D161" s="56" t="s">
        <v>128</v>
      </c>
      <c r="E161" s="49">
        <v>45</v>
      </c>
      <c r="F161" s="49">
        <v>87</v>
      </c>
      <c r="G161" s="49">
        <f>F161-E161</f>
        <v>42</v>
      </c>
      <c r="H161" s="49">
        <f>IF(F161&gt;50,G161*0.2,G161*0.1)</f>
        <v>8.4</v>
      </c>
      <c r="I161" s="13" t="s">
        <v>155</v>
      </c>
      <c r="J161" s="13" t="s">
        <v>50</v>
      </c>
      <c r="K161" s="59" t="s">
        <v>133</v>
      </c>
    </row>
    <row r="162" spans="1:11" x14ac:dyDescent="0.2">
      <c r="A162" s="20" t="s">
        <v>146</v>
      </c>
      <c r="B162" s="55">
        <v>1009</v>
      </c>
      <c r="C162" s="56">
        <v>9121</v>
      </c>
      <c r="D162" s="56" t="s">
        <v>130</v>
      </c>
      <c r="E162" s="49">
        <v>4</v>
      </c>
      <c r="F162" s="49">
        <v>7</v>
      </c>
      <c r="G162" s="49">
        <f>F162-E162</f>
        <v>3</v>
      </c>
      <c r="H162" s="49">
        <f>IF(F162&gt;50,G162*0.2,G162*0.1)</f>
        <v>0.30000000000000004</v>
      </c>
      <c r="I162" s="13" t="s">
        <v>155</v>
      </c>
      <c r="J162" s="13" t="s">
        <v>50</v>
      </c>
      <c r="K162" s="59" t="s">
        <v>135</v>
      </c>
    </row>
    <row r="163" spans="1:11" x14ac:dyDescent="0.2">
      <c r="A163" s="20" t="s">
        <v>140</v>
      </c>
      <c r="B163" s="55">
        <v>1006</v>
      </c>
      <c r="C163" s="56">
        <v>2877</v>
      </c>
      <c r="D163" s="56" t="s">
        <v>136</v>
      </c>
      <c r="E163" s="49">
        <v>11.4</v>
      </c>
      <c r="F163" s="49">
        <v>16.3</v>
      </c>
      <c r="G163" s="49">
        <f>F163-E163</f>
        <v>4.9000000000000004</v>
      </c>
      <c r="H163" s="49">
        <f>IF(F163&gt;50,G163*0.2,G163*0.1)</f>
        <v>0.49000000000000005</v>
      </c>
      <c r="I163" s="13" t="s">
        <v>153</v>
      </c>
      <c r="J163" s="13" t="s">
        <v>154</v>
      </c>
      <c r="K163" s="59" t="s">
        <v>129</v>
      </c>
    </row>
    <row r="164" spans="1:11" x14ac:dyDescent="0.2">
      <c r="A164" s="20" t="s">
        <v>145</v>
      </c>
      <c r="B164" s="55">
        <v>1003</v>
      </c>
      <c r="C164" s="56">
        <v>2877</v>
      </c>
      <c r="D164" s="56" t="s">
        <v>136</v>
      </c>
      <c r="E164" s="49">
        <v>11.4</v>
      </c>
      <c r="F164" s="49">
        <v>16.3</v>
      </c>
      <c r="G164" s="49">
        <f>F164-E164</f>
        <v>4.9000000000000004</v>
      </c>
      <c r="H164" s="49">
        <f>IF(F164&gt;50,G164*0.2,G164*0.1)</f>
        <v>0.49000000000000005</v>
      </c>
      <c r="I164" s="13" t="s">
        <v>151</v>
      </c>
      <c r="J164" s="13" t="s">
        <v>152</v>
      </c>
      <c r="K164" s="59" t="s">
        <v>129</v>
      </c>
    </row>
    <row r="165" spans="1:11" x14ac:dyDescent="0.2">
      <c r="A165" s="20" t="s">
        <v>145</v>
      </c>
      <c r="B165" s="55">
        <v>1015</v>
      </c>
      <c r="C165" s="56">
        <v>2877</v>
      </c>
      <c r="D165" s="56" t="s">
        <v>136</v>
      </c>
      <c r="E165" s="49">
        <v>11.4</v>
      </c>
      <c r="F165" s="49">
        <v>16.3</v>
      </c>
      <c r="G165" s="49">
        <f>F165-E165</f>
        <v>4.9000000000000004</v>
      </c>
      <c r="H165" s="49">
        <f>IF(F165&gt;50,G165*0.2,G165*0.1)</f>
        <v>0.49000000000000005</v>
      </c>
      <c r="I165" s="13" t="s">
        <v>151</v>
      </c>
      <c r="J165" s="13" t="s">
        <v>152</v>
      </c>
      <c r="K165" s="59" t="s">
        <v>129</v>
      </c>
    </row>
    <row r="166" spans="1:11" x14ac:dyDescent="0.2">
      <c r="A166" s="20" t="s">
        <v>147</v>
      </c>
      <c r="B166" s="55">
        <v>1001</v>
      </c>
      <c r="C166" s="56">
        <v>2877</v>
      </c>
      <c r="D166" s="56" t="s">
        <v>136</v>
      </c>
      <c r="E166" s="49">
        <v>11.4</v>
      </c>
      <c r="F166" s="49">
        <v>16.3</v>
      </c>
      <c r="G166" s="49">
        <f>F166-E166</f>
        <v>4.9000000000000004</v>
      </c>
      <c r="H166" s="49">
        <f>IF(F166&gt;50,G166*0.2,G166*0.1)</f>
        <v>0.49000000000000005</v>
      </c>
      <c r="I166" s="13" t="s">
        <v>155</v>
      </c>
      <c r="J166" s="13" t="s">
        <v>50</v>
      </c>
      <c r="K166" s="59" t="s">
        <v>133</v>
      </c>
    </row>
    <row r="167" spans="1:11" x14ac:dyDescent="0.2">
      <c r="A167" s="20" t="s">
        <v>147</v>
      </c>
      <c r="B167" s="55">
        <v>1002</v>
      </c>
      <c r="C167" s="56">
        <v>9822</v>
      </c>
      <c r="D167" s="56" t="s">
        <v>131</v>
      </c>
      <c r="E167" s="49">
        <v>58.3</v>
      </c>
      <c r="F167" s="49">
        <v>98.4</v>
      </c>
      <c r="G167" s="49">
        <f>F167-E167</f>
        <v>40.100000000000009</v>
      </c>
      <c r="H167" s="49">
        <f>IF(F167&gt;50,G167*0.2,G167*0.1)</f>
        <v>8.0200000000000014</v>
      </c>
      <c r="I167" s="13" t="s">
        <v>155</v>
      </c>
      <c r="J167" s="13" t="s">
        <v>50</v>
      </c>
      <c r="K167" s="59" t="s">
        <v>132</v>
      </c>
    </row>
    <row r="168" spans="1:11" x14ac:dyDescent="0.2">
      <c r="A168" s="20" t="s">
        <v>147</v>
      </c>
      <c r="B168" s="55">
        <v>1006</v>
      </c>
      <c r="C168" s="56">
        <v>1109</v>
      </c>
      <c r="D168" s="56" t="s">
        <v>126</v>
      </c>
      <c r="E168" s="49">
        <v>3</v>
      </c>
      <c r="F168" s="49">
        <v>8</v>
      </c>
      <c r="G168" s="49">
        <f>F168-E168</f>
        <v>5</v>
      </c>
      <c r="H168" s="49">
        <f>IF(F168&gt;50,G168*0.2,G168*0.1)</f>
        <v>0.5</v>
      </c>
      <c r="I168" s="13" t="s">
        <v>155</v>
      </c>
      <c r="J168" s="13" t="s">
        <v>50</v>
      </c>
      <c r="K168" s="59" t="s">
        <v>125</v>
      </c>
    </row>
    <row r="169" spans="1:11" x14ac:dyDescent="0.2">
      <c r="A169" s="20" t="s">
        <v>147</v>
      </c>
      <c r="B169" s="55">
        <v>1008</v>
      </c>
      <c r="C169" s="56">
        <v>1109</v>
      </c>
      <c r="D169" s="56" t="s">
        <v>126</v>
      </c>
      <c r="E169" s="49">
        <v>3</v>
      </c>
      <c r="F169" s="49">
        <v>8</v>
      </c>
      <c r="G169" s="49">
        <f>F169-E169</f>
        <v>5</v>
      </c>
      <c r="H169" s="49">
        <f>IF(F169&gt;50,G169*0.2,G169*0.1)</f>
        <v>0.5</v>
      </c>
      <c r="I169" s="13" t="s">
        <v>155</v>
      </c>
      <c r="J169" s="13" t="s">
        <v>50</v>
      </c>
      <c r="K169" s="59" t="s">
        <v>127</v>
      </c>
    </row>
    <row r="170" spans="1:11" x14ac:dyDescent="0.2">
      <c r="A170" s="20" t="s">
        <v>147</v>
      </c>
      <c r="B170" s="55">
        <v>1010</v>
      </c>
      <c r="C170" s="56">
        <v>2242</v>
      </c>
      <c r="D170" s="56" t="s">
        <v>137</v>
      </c>
      <c r="E170" s="49">
        <v>60</v>
      </c>
      <c r="F170" s="49">
        <v>124</v>
      </c>
      <c r="G170" s="49">
        <f>F170-E170</f>
        <v>64</v>
      </c>
      <c r="H170" s="49">
        <f>IF(F170&gt;50,G170*0.2,G170*0.1)</f>
        <v>12.8</v>
      </c>
      <c r="I170" s="13" t="s">
        <v>155</v>
      </c>
      <c r="J170" s="13" t="s">
        <v>50</v>
      </c>
      <c r="K170" s="59" t="s">
        <v>133</v>
      </c>
    </row>
    <row r="171" spans="1:11" x14ac:dyDescent="0.2">
      <c r="A171" s="20" t="s">
        <v>147</v>
      </c>
      <c r="B171" s="55">
        <v>1011</v>
      </c>
      <c r="C171" s="56">
        <v>8722</v>
      </c>
      <c r="D171" s="56" t="s">
        <v>134</v>
      </c>
      <c r="E171" s="49">
        <v>344</v>
      </c>
      <c r="F171" s="49">
        <v>502</v>
      </c>
      <c r="G171" s="49">
        <f>F171-E171</f>
        <v>158</v>
      </c>
      <c r="H171" s="49">
        <f>IF(F171&gt;50,G171*0.2,G171*0.1)</f>
        <v>31.6</v>
      </c>
      <c r="I171" s="13" t="s">
        <v>155</v>
      </c>
      <c r="J171" s="13" t="s">
        <v>50</v>
      </c>
      <c r="K171" s="59" t="s">
        <v>135</v>
      </c>
    </row>
    <row r="172" spans="1:11" x14ac:dyDescent="0.2">
      <c r="A172" s="20" t="s">
        <v>146</v>
      </c>
      <c r="B172" s="55">
        <v>1013</v>
      </c>
      <c r="C172" s="56">
        <v>2877</v>
      </c>
      <c r="D172" s="56" t="s">
        <v>136</v>
      </c>
      <c r="E172" s="49">
        <v>11.4</v>
      </c>
      <c r="F172" s="49">
        <v>16.3</v>
      </c>
      <c r="G172" s="49">
        <f>F172-E172</f>
        <v>4.9000000000000004</v>
      </c>
      <c r="H172" s="49">
        <f>IF(F172&gt;50,G172*0.2,G172*0.1)</f>
        <v>0.49000000000000005</v>
      </c>
      <c r="I172" s="13" t="s">
        <v>151</v>
      </c>
      <c r="J172" s="13" t="s">
        <v>152</v>
      </c>
      <c r="K172" s="59" t="s">
        <v>129</v>
      </c>
    </row>
    <row r="173" spans="1:11" x14ac:dyDescent="0.2">
      <c r="A173" s="20" t="s">
        <v>147</v>
      </c>
      <c r="B173" s="55">
        <v>1019</v>
      </c>
      <c r="C173" s="56">
        <v>2877</v>
      </c>
      <c r="D173" s="56" t="s">
        <v>136</v>
      </c>
      <c r="E173" s="49">
        <v>11.4</v>
      </c>
      <c r="F173" s="49">
        <v>16.3</v>
      </c>
      <c r="G173" s="49">
        <f>F173-E173</f>
        <v>4.9000000000000004</v>
      </c>
      <c r="H173" s="49">
        <f>IF(F173&gt;50,G173*0.2,G173*0.1)</f>
        <v>0.49000000000000005</v>
      </c>
      <c r="I173" s="13" t="s">
        <v>155</v>
      </c>
      <c r="J173" s="13" t="s">
        <v>50</v>
      </c>
      <c r="K173" s="59" t="s">
        <v>127</v>
      </c>
    </row>
    <row r="174" spans="1:11" x14ac:dyDescent="0.2">
      <c r="A174" s="20" t="s">
        <v>148</v>
      </c>
      <c r="B174" s="55">
        <v>1002</v>
      </c>
      <c r="C174" s="56">
        <v>2877</v>
      </c>
      <c r="D174" s="56" t="s">
        <v>136</v>
      </c>
      <c r="E174" s="49">
        <v>11.4</v>
      </c>
      <c r="F174" s="49">
        <v>16.3</v>
      </c>
      <c r="G174" s="49">
        <f>F174-E174</f>
        <v>4.9000000000000004</v>
      </c>
      <c r="H174" s="49">
        <f>IF(F174&gt;50,G174*0.2,G174*0.1)</f>
        <v>0.49000000000000005</v>
      </c>
      <c r="I174" s="13" t="s">
        <v>155</v>
      </c>
      <c r="J174" s="13" t="s">
        <v>50</v>
      </c>
      <c r="K174" s="59" t="s">
        <v>133</v>
      </c>
    </row>
    <row r="175" spans="1:11" x14ac:dyDescent="0.2">
      <c r="A175" s="20" t="s">
        <v>148</v>
      </c>
      <c r="B175" s="55">
        <v>1013</v>
      </c>
      <c r="C175" s="56">
        <v>2877</v>
      </c>
      <c r="D175" s="56" t="s">
        <v>136</v>
      </c>
      <c r="E175" s="49">
        <v>11.4</v>
      </c>
      <c r="F175" s="49">
        <v>16.3</v>
      </c>
      <c r="G175" s="49">
        <f>F175-E175</f>
        <v>4.9000000000000004</v>
      </c>
      <c r="H175" s="49">
        <f>IF(F175&gt;50,G175*0.2,G175*0.1)</f>
        <v>0.49000000000000005</v>
      </c>
      <c r="I175" s="13" t="s">
        <v>155</v>
      </c>
      <c r="J175" s="13" t="s">
        <v>50</v>
      </c>
      <c r="K175" s="59" t="s">
        <v>132</v>
      </c>
    </row>
    <row r="176" spans="1:11" x14ac:dyDescent="0.2">
      <c r="A176" s="20" t="s">
        <v>123</v>
      </c>
      <c r="B176" s="55">
        <v>1001</v>
      </c>
      <c r="C176" s="56">
        <v>2499</v>
      </c>
      <c r="D176" s="56" t="s">
        <v>124</v>
      </c>
      <c r="E176" s="49">
        <v>6.2</v>
      </c>
      <c r="F176" s="49">
        <v>9.1999999999999993</v>
      </c>
      <c r="G176" s="49">
        <f>F176-E176</f>
        <v>2.9999999999999991</v>
      </c>
      <c r="H176" s="49">
        <f>IF(F176&gt;50,G176*0.2,G176*0.1)</f>
        <v>0.29999999999999993</v>
      </c>
      <c r="I176" s="13" t="s">
        <v>150</v>
      </c>
      <c r="J176" s="13" t="s">
        <v>11</v>
      </c>
      <c r="K176" s="59" t="s">
        <v>125</v>
      </c>
    </row>
    <row r="177" spans="1:11" x14ac:dyDescent="0.2">
      <c r="A177" s="20" t="s">
        <v>146</v>
      </c>
      <c r="B177" s="55">
        <v>1001</v>
      </c>
      <c r="C177" s="56">
        <v>2877</v>
      </c>
      <c r="D177" s="56" t="s">
        <v>136</v>
      </c>
      <c r="E177" s="49">
        <v>11.4</v>
      </c>
      <c r="F177" s="49">
        <v>16.3</v>
      </c>
      <c r="G177" s="49">
        <f>F177-E177</f>
        <v>4.9000000000000004</v>
      </c>
      <c r="H177" s="49">
        <f>IF(F177&gt;50,G177*0.2,G177*0.1)</f>
        <v>0.49000000000000005</v>
      </c>
      <c r="I177" s="13" t="s">
        <v>155</v>
      </c>
      <c r="J177" s="13" t="s">
        <v>50</v>
      </c>
      <c r="K177" s="59" t="s">
        <v>129</v>
      </c>
    </row>
    <row r="178" spans="1:11" x14ac:dyDescent="0.2">
      <c r="A178" s="20" t="s">
        <v>146</v>
      </c>
      <c r="B178" s="55">
        <v>1020</v>
      </c>
      <c r="C178" s="56">
        <v>2877</v>
      </c>
      <c r="D178" s="56" t="s">
        <v>136</v>
      </c>
      <c r="E178" s="49">
        <v>11.4</v>
      </c>
      <c r="F178" s="49">
        <v>16.3</v>
      </c>
      <c r="G178" s="49">
        <f>F178-E178</f>
        <v>4.9000000000000004</v>
      </c>
      <c r="H178" s="49">
        <f>IF(F178&gt;50,G178*0.2,G178*0.1)</f>
        <v>0.49000000000000005</v>
      </c>
      <c r="I178" s="13" t="s">
        <v>155</v>
      </c>
      <c r="J178" s="13" t="s">
        <v>50</v>
      </c>
      <c r="K178" s="59" t="s">
        <v>129</v>
      </c>
    </row>
    <row r="179" spans="1:11" x14ac:dyDescent="0.2">
      <c r="A179" s="20" t="s">
        <v>123</v>
      </c>
      <c r="B179" s="55">
        <v>1006</v>
      </c>
      <c r="C179" s="56">
        <v>9822</v>
      </c>
      <c r="D179" s="56" t="s">
        <v>131</v>
      </c>
      <c r="E179" s="49">
        <v>58.3</v>
      </c>
      <c r="F179" s="49">
        <v>98.4</v>
      </c>
      <c r="G179" s="49">
        <f>F179-E179</f>
        <v>40.100000000000009</v>
      </c>
      <c r="H179" s="49">
        <f>IF(F179&gt;50,G179*0.2,G179*0.1)</f>
        <v>8.0200000000000014</v>
      </c>
      <c r="I179" s="13" t="s">
        <v>150</v>
      </c>
      <c r="J179" s="13" t="s">
        <v>11</v>
      </c>
      <c r="K179" s="59" t="s">
        <v>133</v>
      </c>
    </row>
    <row r="180" spans="1:11" x14ac:dyDescent="0.2">
      <c r="A180" s="20" t="s">
        <v>123</v>
      </c>
      <c r="B180" s="55">
        <v>1008</v>
      </c>
      <c r="C180" s="56">
        <v>2499</v>
      </c>
      <c r="D180" s="56" t="s">
        <v>124</v>
      </c>
      <c r="E180" s="49">
        <v>6.2</v>
      </c>
      <c r="F180" s="49">
        <v>9.1999999999999993</v>
      </c>
      <c r="G180" s="49">
        <f>F180-E180</f>
        <v>2.9999999999999991</v>
      </c>
      <c r="H180" s="49">
        <f>IF(F180&gt;50,G180*0.2,G180*0.1)</f>
        <v>0.29999999999999993</v>
      </c>
      <c r="I180" s="13" t="s">
        <v>150</v>
      </c>
      <c r="J180" s="13" t="s">
        <v>11</v>
      </c>
      <c r="K180" s="59" t="s">
        <v>133</v>
      </c>
    </row>
    <row r="181" spans="1:11" x14ac:dyDescent="0.2">
      <c r="A181" s="20" t="s">
        <v>123</v>
      </c>
      <c r="B181" s="55">
        <v>1013</v>
      </c>
      <c r="C181" s="56">
        <v>2877</v>
      </c>
      <c r="D181" s="56" t="s">
        <v>136</v>
      </c>
      <c r="E181" s="49">
        <v>11.4</v>
      </c>
      <c r="F181" s="49">
        <v>16.3</v>
      </c>
      <c r="G181" s="49">
        <f>F181-E181</f>
        <v>4.9000000000000004</v>
      </c>
      <c r="H181" s="49">
        <f>IF(F181&gt;50,G181*0.2,G181*0.1)</f>
        <v>0.49000000000000005</v>
      </c>
      <c r="I181" s="13" t="s">
        <v>150</v>
      </c>
      <c r="J181" s="13" t="s">
        <v>11</v>
      </c>
      <c r="K181" s="59" t="s">
        <v>127</v>
      </c>
    </row>
    <row r="182" spans="1:11" x14ac:dyDescent="0.2">
      <c r="A182" s="20" t="s">
        <v>123</v>
      </c>
      <c r="B182" s="55">
        <v>1017</v>
      </c>
      <c r="C182" s="56">
        <v>2242</v>
      </c>
      <c r="D182" s="56" t="s">
        <v>137</v>
      </c>
      <c r="E182" s="49">
        <v>60</v>
      </c>
      <c r="F182" s="49">
        <v>124</v>
      </c>
      <c r="G182" s="49">
        <f>F182-E182</f>
        <v>64</v>
      </c>
      <c r="H182" s="49">
        <f>IF(F182&gt;50,G182*0.2,G182*0.1)</f>
        <v>12.8</v>
      </c>
      <c r="I182" s="13" t="s">
        <v>150</v>
      </c>
      <c r="J182" s="13" t="s">
        <v>11</v>
      </c>
      <c r="K182" s="59" t="s">
        <v>125</v>
      </c>
    </row>
    <row r="183" spans="1:11" x14ac:dyDescent="0.2">
      <c r="A183" s="20" t="s">
        <v>138</v>
      </c>
      <c r="B183" s="55">
        <v>1001</v>
      </c>
      <c r="C183" s="56">
        <v>2877</v>
      </c>
      <c r="D183" s="56" t="s">
        <v>136</v>
      </c>
      <c r="E183" s="49">
        <v>11.4</v>
      </c>
      <c r="F183" s="49">
        <v>16.3</v>
      </c>
      <c r="G183" s="49">
        <f>F183-E183</f>
        <v>4.9000000000000004</v>
      </c>
      <c r="H183" s="49">
        <f>IF(F183&gt;50,G183*0.2,G183*0.1)</f>
        <v>0.49000000000000005</v>
      </c>
      <c r="I183" s="13" t="s">
        <v>150</v>
      </c>
      <c r="J183" s="13" t="s">
        <v>11</v>
      </c>
      <c r="K183" s="59" t="s">
        <v>135</v>
      </c>
    </row>
    <row r="184" spans="1:11" x14ac:dyDescent="0.2">
      <c r="A184" s="20" t="s">
        <v>138</v>
      </c>
      <c r="B184" s="55">
        <v>1004</v>
      </c>
      <c r="C184" s="56">
        <v>1109</v>
      </c>
      <c r="D184" s="56" t="s">
        <v>126</v>
      </c>
      <c r="E184" s="49">
        <v>3</v>
      </c>
      <c r="F184" s="49">
        <v>8</v>
      </c>
      <c r="G184" s="49">
        <f>F184-E184</f>
        <v>5</v>
      </c>
      <c r="H184" s="49">
        <f>IF(F184&gt;50,G184*0.2,G184*0.1)</f>
        <v>0.5</v>
      </c>
      <c r="I184" s="13" t="s">
        <v>150</v>
      </c>
      <c r="J184" s="13" t="s">
        <v>11</v>
      </c>
      <c r="K184" s="59" t="s">
        <v>127</v>
      </c>
    </row>
    <row r="185" spans="1:11" x14ac:dyDescent="0.2">
      <c r="A185" s="20" t="s">
        <v>138</v>
      </c>
      <c r="B185" s="55">
        <v>1009</v>
      </c>
      <c r="C185" s="56">
        <v>2242</v>
      </c>
      <c r="D185" s="56" t="s">
        <v>137</v>
      </c>
      <c r="E185" s="49">
        <v>60</v>
      </c>
      <c r="F185" s="49">
        <v>124</v>
      </c>
      <c r="G185" s="49">
        <f>F185-E185</f>
        <v>64</v>
      </c>
      <c r="H185" s="49">
        <f>IF(F185&gt;50,G185*0.2,G185*0.1)</f>
        <v>12.8</v>
      </c>
      <c r="I185" s="13" t="s">
        <v>150</v>
      </c>
      <c r="J185" s="13" t="s">
        <v>11</v>
      </c>
      <c r="K185" s="59" t="s">
        <v>135</v>
      </c>
    </row>
    <row r="186" spans="1:11" x14ac:dyDescent="0.2">
      <c r="A186" s="20" t="s">
        <v>138</v>
      </c>
      <c r="B186" s="55">
        <v>1018</v>
      </c>
      <c r="C186" s="56">
        <v>2499</v>
      </c>
      <c r="D186" s="56" t="s">
        <v>124</v>
      </c>
      <c r="E186" s="49">
        <v>6.2</v>
      </c>
      <c r="F186" s="49">
        <v>9.1999999999999993</v>
      </c>
      <c r="G186" s="49">
        <f>F186-E186</f>
        <v>2.9999999999999991</v>
      </c>
      <c r="H186" s="49">
        <f>IF(F186&gt;50,G186*0.2,G186*0.1)</f>
        <v>0.29999999999999993</v>
      </c>
      <c r="I186" s="13" t="s">
        <v>150</v>
      </c>
      <c r="J186" s="13" t="s">
        <v>11</v>
      </c>
      <c r="K186" s="59" t="s">
        <v>132</v>
      </c>
    </row>
    <row r="187" spans="1:11" x14ac:dyDescent="0.2">
      <c r="A187" s="20" t="s">
        <v>139</v>
      </c>
      <c r="B187" s="55">
        <v>1005</v>
      </c>
      <c r="C187" s="56">
        <v>9121</v>
      </c>
      <c r="D187" s="56" t="s">
        <v>130</v>
      </c>
      <c r="E187" s="49">
        <v>4</v>
      </c>
      <c r="F187" s="49">
        <v>7</v>
      </c>
      <c r="G187" s="49">
        <f>F187-E187</f>
        <v>3</v>
      </c>
      <c r="H187" s="49">
        <f>IF(F187&gt;50,G187*0.2,G187*0.1)</f>
        <v>0.30000000000000004</v>
      </c>
      <c r="I187" s="13" t="s">
        <v>150</v>
      </c>
      <c r="J187" s="13" t="s">
        <v>11</v>
      </c>
      <c r="K187" s="59" t="s">
        <v>135</v>
      </c>
    </row>
    <row r="188" spans="1:11" x14ac:dyDescent="0.2">
      <c r="A188" s="20" t="s">
        <v>139</v>
      </c>
      <c r="B188" s="55">
        <v>1007</v>
      </c>
      <c r="C188" s="56">
        <v>2877</v>
      </c>
      <c r="D188" s="56" t="s">
        <v>136</v>
      </c>
      <c r="E188" s="49">
        <v>11.4</v>
      </c>
      <c r="F188" s="49">
        <v>16.3</v>
      </c>
      <c r="G188" s="49">
        <f>F188-E188</f>
        <v>4.9000000000000004</v>
      </c>
      <c r="H188" s="49">
        <f>IF(F188&gt;50,G188*0.2,G188*0.1)</f>
        <v>0.49000000000000005</v>
      </c>
      <c r="I188" s="13" t="s">
        <v>150</v>
      </c>
      <c r="J188" s="13" t="s">
        <v>11</v>
      </c>
      <c r="K188" s="59" t="s">
        <v>135</v>
      </c>
    </row>
    <row r="189" spans="1:11" x14ac:dyDescent="0.2">
      <c r="A189" s="20" t="s">
        <v>139</v>
      </c>
      <c r="B189" s="55">
        <v>1014</v>
      </c>
      <c r="C189" s="56">
        <v>2499</v>
      </c>
      <c r="D189" s="56" t="s">
        <v>124</v>
      </c>
      <c r="E189" s="49">
        <v>6.2</v>
      </c>
      <c r="F189" s="49">
        <v>9.1999999999999993</v>
      </c>
      <c r="G189" s="49">
        <f>F189-E189</f>
        <v>2.9999999999999991</v>
      </c>
      <c r="H189" s="49">
        <f>IF(F189&gt;50,G189*0.2,G189*0.1)</f>
        <v>0.29999999999999993</v>
      </c>
      <c r="I189" s="13" t="s">
        <v>150</v>
      </c>
      <c r="J189" s="13" t="s">
        <v>11</v>
      </c>
      <c r="K189" s="59" t="s">
        <v>135</v>
      </c>
    </row>
    <row r="190" spans="1:11" x14ac:dyDescent="0.2">
      <c r="A190" s="20" t="s">
        <v>140</v>
      </c>
      <c r="B190" s="55">
        <v>1001</v>
      </c>
      <c r="C190" s="56">
        <v>8722</v>
      </c>
      <c r="D190" s="56" t="s">
        <v>134</v>
      </c>
      <c r="E190" s="49">
        <v>344</v>
      </c>
      <c r="F190" s="49">
        <v>502</v>
      </c>
      <c r="G190" s="49">
        <f>F190-E190</f>
        <v>158</v>
      </c>
      <c r="H190" s="49">
        <f>IF(F190&gt;50,G190*0.2,G190*0.1)</f>
        <v>31.6</v>
      </c>
      <c r="I190" s="13" t="s">
        <v>150</v>
      </c>
      <c r="J190" s="13" t="s">
        <v>11</v>
      </c>
      <c r="K190" s="59" t="s">
        <v>135</v>
      </c>
    </row>
    <row r="191" spans="1:11" x14ac:dyDescent="0.2">
      <c r="A191" s="20" t="s">
        <v>140</v>
      </c>
      <c r="B191" s="55">
        <v>1003</v>
      </c>
      <c r="C191" s="56">
        <v>9822</v>
      </c>
      <c r="D191" s="56" t="s">
        <v>131</v>
      </c>
      <c r="E191" s="49">
        <v>58.3</v>
      </c>
      <c r="F191" s="49">
        <v>98.4</v>
      </c>
      <c r="G191" s="49">
        <f>F191-E191</f>
        <v>40.100000000000009</v>
      </c>
      <c r="H191" s="49">
        <f>IF(F191&gt;50,G191*0.2,G191*0.1)</f>
        <v>8.0200000000000014</v>
      </c>
      <c r="I191" s="13" t="s">
        <v>150</v>
      </c>
      <c r="J191" s="13" t="s">
        <v>11</v>
      </c>
      <c r="K191" s="59" t="s">
        <v>125</v>
      </c>
    </row>
    <row r="192" spans="1:11" x14ac:dyDescent="0.2">
      <c r="A192" s="20" t="s">
        <v>140</v>
      </c>
      <c r="B192" s="55">
        <v>1005</v>
      </c>
      <c r="C192" s="56">
        <v>2877</v>
      </c>
      <c r="D192" s="56" t="s">
        <v>136</v>
      </c>
      <c r="E192" s="49">
        <v>11.4</v>
      </c>
      <c r="F192" s="49">
        <v>16.3</v>
      </c>
      <c r="G192" s="49">
        <f>F192-E192</f>
        <v>4.9000000000000004</v>
      </c>
      <c r="H192" s="49">
        <f>IF(F192&gt;50,G192*0.2,G192*0.1)</f>
        <v>0.49000000000000005</v>
      </c>
      <c r="I192" s="13" t="s">
        <v>150</v>
      </c>
      <c r="J192" s="13" t="s">
        <v>11</v>
      </c>
      <c r="K192" s="59" t="s">
        <v>135</v>
      </c>
    </row>
    <row r="193" spans="1:11" x14ac:dyDescent="0.2">
      <c r="A193" s="20" t="s">
        <v>146</v>
      </c>
      <c r="B193" s="55">
        <v>1002</v>
      </c>
      <c r="C193" s="56">
        <v>2499</v>
      </c>
      <c r="D193" s="56" t="s">
        <v>124</v>
      </c>
      <c r="E193" s="49">
        <v>6.2</v>
      </c>
      <c r="F193" s="49">
        <v>9.1999999999999993</v>
      </c>
      <c r="G193" s="49">
        <f>F193-E193</f>
        <v>2.9999999999999991</v>
      </c>
      <c r="H193" s="49">
        <f>IF(F193&gt;50,G193*0.2,G193*0.1)</f>
        <v>0.29999999999999993</v>
      </c>
      <c r="I193" s="13" t="s">
        <v>150</v>
      </c>
      <c r="J193" s="13" t="s">
        <v>11</v>
      </c>
      <c r="K193" s="59" t="s">
        <v>129</v>
      </c>
    </row>
    <row r="194" spans="1:11" x14ac:dyDescent="0.2">
      <c r="A194" s="20" t="s">
        <v>141</v>
      </c>
      <c r="B194" s="55">
        <v>1001</v>
      </c>
      <c r="C194" s="56">
        <v>1109</v>
      </c>
      <c r="D194" s="56" t="s">
        <v>126</v>
      </c>
      <c r="E194" s="49">
        <v>3</v>
      </c>
      <c r="F194" s="49">
        <v>8</v>
      </c>
      <c r="G194" s="49">
        <f>F194-E194</f>
        <v>5</v>
      </c>
      <c r="H194" s="49">
        <f>IF(F194&gt;50,G194*0.2,G194*0.1)</f>
        <v>0.5</v>
      </c>
      <c r="I194" s="13" t="s">
        <v>153</v>
      </c>
      <c r="J194" s="13" t="s">
        <v>154</v>
      </c>
      <c r="K194" s="59" t="s">
        <v>129</v>
      </c>
    </row>
    <row r="195" spans="1:11" x14ac:dyDescent="0.2">
      <c r="A195" s="20" t="s">
        <v>141</v>
      </c>
      <c r="B195" s="55">
        <v>1002</v>
      </c>
      <c r="C195" s="56">
        <v>2242</v>
      </c>
      <c r="D195" s="56" t="s">
        <v>137</v>
      </c>
      <c r="E195" s="49">
        <v>60</v>
      </c>
      <c r="F195" s="49">
        <v>124</v>
      </c>
      <c r="G195" s="49">
        <f>F195-E195</f>
        <v>64</v>
      </c>
      <c r="H195" s="49">
        <f>IF(F195&gt;50,G195*0.2,G195*0.1)</f>
        <v>12.8</v>
      </c>
      <c r="I195" s="13" t="s">
        <v>150</v>
      </c>
      <c r="J195" s="13" t="s">
        <v>11</v>
      </c>
      <c r="K195" s="59" t="s">
        <v>125</v>
      </c>
    </row>
    <row r="196" spans="1:11" x14ac:dyDescent="0.2">
      <c r="A196" s="20" t="s">
        <v>141</v>
      </c>
      <c r="B196" s="55">
        <v>1004</v>
      </c>
      <c r="C196" s="56">
        <v>2499</v>
      </c>
      <c r="D196" s="56" t="s">
        <v>124</v>
      </c>
      <c r="E196" s="49">
        <v>6.2</v>
      </c>
      <c r="F196" s="49">
        <v>9.1999999999999993</v>
      </c>
      <c r="G196" s="49">
        <f>F196-E196</f>
        <v>2.9999999999999991</v>
      </c>
      <c r="H196" s="49">
        <f>IF(F196&gt;50,G196*0.2,G196*0.1)</f>
        <v>0.29999999999999993</v>
      </c>
      <c r="I196" s="13" t="s">
        <v>150</v>
      </c>
      <c r="J196" s="13" t="s">
        <v>11</v>
      </c>
      <c r="K196" s="59" t="s">
        <v>135</v>
      </c>
    </row>
    <row r="197" spans="1:11" x14ac:dyDescent="0.2">
      <c r="A197" s="20" t="s">
        <v>141</v>
      </c>
      <c r="B197" s="55">
        <v>1006</v>
      </c>
      <c r="C197" s="56">
        <v>9822</v>
      </c>
      <c r="D197" s="56" t="s">
        <v>131</v>
      </c>
      <c r="E197" s="49">
        <v>58.3</v>
      </c>
      <c r="F197" s="49">
        <v>98.4</v>
      </c>
      <c r="G197" s="49">
        <f>F197-E197</f>
        <v>40.100000000000009</v>
      </c>
      <c r="H197" s="49">
        <f>IF(F197&gt;50,G197*0.2,G197*0.1)</f>
        <v>8.0200000000000014</v>
      </c>
      <c r="I197" s="13" t="s">
        <v>150</v>
      </c>
      <c r="J197" s="13" t="s">
        <v>11</v>
      </c>
      <c r="K197" s="59" t="s">
        <v>135</v>
      </c>
    </row>
    <row r="198" spans="1:11" x14ac:dyDescent="0.2">
      <c r="A198" s="20" t="s">
        <v>141</v>
      </c>
      <c r="B198" s="55">
        <v>1012</v>
      </c>
      <c r="C198" s="56">
        <v>9822</v>
      </c>
      <c r="D198" s="56" t="s">
        <v>131</v>
      </c>
      <c r="E198" s="49">
        <v>58.3</v>
      </c>
      <c r="F198" s="49">
        <v>98.4</v>
      </c>
      <c r="G198" s="49">
        <f>F198-E198</f>
        <v>40.100000000000009</v>
      </c>
      <c r="H198" s="49">
        <f>IF(F198&gt;50,G198*0.2,G198*0.1)</f>
        <v>8.0200000000000014</v>
      </c>
      <c r="I198" s="13" t="s">
        <v>150</v>
      </c>
      <c r="J198" s="13" t="s">
        <v>11</v>
      </c>
      <c r="K198" s="59" t="s">
        <v>133</v>
      </c>
    </row>
    <row r="199" spans="1:11" x14ac:dyDescent="0.2">
      <c r="A199" s="20" t="s">
        <v>141</v>
      </c>
      <c r="B199" s="55">
        <v>1014</v>
      </c>
      <c r="C199" s="56">
        <v>4421</v>
      </c>
      <c r="D199" s="56" t="s">
        <v>128</v>
      </c>
      <c r="E199" s="49">
        <v>45</v>
      </c>
      <c r="F199" s="49">
        <v>87</v>
      </c>
      <c r="G199" s="49">
        <f>F199-E199</f>
        <v>42</v>
      </c>
      <c r="H199" s="49">
        <f>IF(F199&gt;50,G199*0.2,G199*0.1)</f>
        <v>8.4</v>
      </c>
      <c r="I199" s="13" t="s">
        <v>150</v>
      </c>
      <c r="J199" s="13" t="s">
        <v>11</v>
      </c>
      <c r="K199" s="59" t="s">
        <v>125</v>
      </c>
    </row>
    <row r="200" spans="1:11" x14ac:dyDescent="0.2">
      <c r="A200" s="20" t="s">
        <v>144</v>
      </c>
      <c r="B200" s="55">
        <v>1019</v>
      </c>
      <c r="C200" s="56">
        <v>1109</v>
      </c>
      <c r="D200" s="56" t="s">
        <v>126</v>
      </c>
      <c r="E200" s="49">
        <v>3</v>
      </c>
      <c r="F200" s="49">
        <v>8</v>
      </c>
      <c r="G200" s="49">
        <f>F200-E200</f>
        <v>5</v>
      </c>
      <c r="H200" s="49">
        <f>IF(F200&gt;50,G200*0.2,G200*0.1)</f>
        <v>0.5</v>
      </c>
      <c r="I200" s="13" t="s">
        <v>153</v>
      </c>
      <c r="J200" s="13" t="s">
        <v>154</v>
      </c>
      <c r="K200" s="59" t="s">
        <v>129</v>
      </c>
    </row>
    <row r="201" spans="1:11" x14ac:dyDescent="0.2">
      <c r="A201" s="20" t="s">
        <v>141</v>
      </c>
      <c r="B201" s="55">
        <v>1019</v>
      </c>
      <c r="C201" s="56">
        <v>8722</v>
      </c>
      <c r="D201" s="56" t="s">
        <v>134</v>
      </c>
      <c r="E201" s="49">
        <v>344</v>
      </c>
      <c r="F201" s="49">
        <v>502</v>
      </c>
      <c r="G201" s="49">
        <f>F201-E201</f>
        <v>158</v>
      </c>
      <c r="H201" s="49">
        <f>IF(F201&gt;50,G201*0.2,G201*0.1)</f>
        <v>31.6</v>
      </c>
      <c r="I201" s="13" t="s">
        <v>150</v>
      </c>
      <c r="J201" s="13" t="s">
        <v>11</v>
      </c>
      <c r="K201" s="59" t="s">
        <v>132</v>
      </c>
    </row>
    <row r="202" spans="1:11" x14ac:dyDescent="0.2">
      <c r="A202" s="20" t="s">
        <v>142</v>
      </c>
      <c r="B202" s="55">
        <v>1002</v>
      </c>
      <c r="C202" s="56">
        <v>2877</v>
      </c>
      <c r="D202" s="56" t="s">
        <v>136</v>
      </c>
      <c r="E202" s="49">
        <v>11.4</v>
      </c>
      <c r="F202" s="49">
        <v>16.3</v>
      </c>
      <c r="G202" s="49">
        <f>F202-E202</f>
        <v>4.9000000000000004</v>
      </c>
      <c r="H202" s="49">
        <f>IF(F202&gt;50,G202*0.2,G202*0.1)</f>
        <v>0.49000000000000005</v>
      </c>
      <c r="I202" s="13" t="s">
        <v>150</v>
      </c>
      <c r="J202" s="13" t="s">
        <v>11</v>
      </c>
      <c r="K202" s="59" t="s">
        <v>127</v>
      </c>
    </row>
    <row r="203" spans="1:11" x14ac:dyDescent="0.2">
      <c r="A203" s="20" t="s">
        <v>142</v>
      </c>
      <c r="B203" s="55">
        <v>1004</v>
      </c>
      <c r="C203" s="56">
        <v>2242</v>
      </c>
      <c r="D203" s="56" t="s">
        <v>137</v>
      </c>
      <c r="E203" s="49">
        <v>60</v>
      </c>
      <c r="F203" s="49">
        <v>124</v>
      </c>
      <c r="G203" s="49">
        <f>F203-E203</f>
        <v>64</v>
      </c>
      <c r="H203" s="49">
        <f>IF(F203&gt;50,G203*0.2,G203*0.1)</f>
        <v>12.8</v>
      </c>
      <c r="I203" s="13" t="s">
        <v>150</v>
      </c>
      <c r="J203" s="13" t="s">
        <v>11</v>
      </c>
      <c r="K203" s="59" t="s">
        <v>133</v>
      </c>
    </row>
    <row r="204" spans="1:11" x14ac:dyDescent="0.2">
      <c r="A204" s="20" t="s">
        <v>142</v>
      </c>
      <c r="B204" s="55">
        <v>1005</v>
      </c>
      <c r="C204" s="56">
        <v>4421</v>
      </c>
      <c r="D204" s="56" t="s">
        <v>128</v>
      </c>
      <c r="E204" s="49">
        <v>45</v>
      </c>
      <c r="F204" s="49">
        <v>87</v>
      </c>
      <c r="G204" s="49">
        <f>F204-E204</f>
        <v>42</v>
      </c>
      <c r="H204" s="49">
        <f>IF(F204&gt;50,G204*0.2,G204*0.1)</f>
        <v>8.4</v>
      </c>
      <c r="I204" s="13" t="s">
        <v>150</v>
      </c>
      <c r="J204" s="13" t="s">
        <v>11</v>
      </c>
      <c r="K204" s="59" t="s">
        <v>132</v>
      </c>
    </row>
    <row r="205" spans="1:11" x14ac:dyDescent="0.2">
      <c r="A205" s="20" t="s">
        <v>142</v>
      </c>
      <c r="B205" s="55">
        <v>1010</v>
      </c>
      <c r="C205" s="56">
        <v>8722</v>
      </c>
      <c r="D205" s="56" t="s">
        <v>134</v>
      </c>
      <c r="E205" s="49">
        <v>344</v>
      </c>
      <c r="F205" s="49">
        <v>502</v>
      </c>
      <c r="G205" s="49">
        <f>F205-E205</f>
        <v>158</v>
      </c>
      <c r="H205" s="49">
        <f>IF(F205&gt;50,G205*0.2,G205*0.1)</f>
        <v>31.6</v>
      </c>
      <c r="I205" s="13" t="s">
        <v>150</v>
      </c>
      <c r="J205" s="13" t="s">
        <v>11</v>
      </c>
      <c r="K205" s="59" t="s">
        <v>127</v>
      </c>
    </row>
    <row r="206" spans="1:11" x14ac:dyDescent="0.2">
      <c r="A206" s="20" t="s">
        <v>142</v>
      </c>
      <c r="B206" s="55">
        <v>1019</v>
      </c>
      <c r="C206" s="56">
        <v>1109</v>
      </c>
      <c r="D206" s="56" t="s">
        <v>126</v>
      </c>
      <c r="E206" s="49">
        <v>3</v>
      </c>
      <c r="F206" s="49">
        <v>8</v>
      </c>
      <c r="G206" s="49">
        <f>F206-E206</f>
        <v>5</v>
      </c>
      <c r="H206" s="49">
        <f>IF(F206&gt;50,G206*0.2,G206*0.1)</f>
        <v>0.5</v>
      </c>
      <c r="I206" s="13" t="s">
        <v>155</v>
      </c>
      <c r="J206" s="13" t="s">
        <v>50</v>
      </c>
      <c r="K206" s="59" t="s">
        <v>129</v>
      </c>
    </row>
    <row r="207" spans="1:11" x14ac:dyDescent="0.2">
      <c r="A207" s="20" t="s">
        <v>142</v>
      </c>
      <c r="B207" s="55">
        <v>1012</v>
      </c>
      <c r="C207" s="56">
        <v>9822</v>
      </c>
      <c r="D207" s="56" t="s">
        <v>131</v>
      </c>
      <c r="E207" s="49">
        <v>58.3</v>
      </c>
      <c r="F207" s="49">
        <v>98.4</v>
      </c>
      <c r="G207" s="49">
        <f>F207-E207</f>
        <v>40.100000000000009</v>
      </c>
      <c r="H207" s="49">
        <f>IF(F207&gt;50,G207*0.2,G207*0.1)</f>
        <v>8.0200000000000014</v>
      </c>
      <c r="I207" s="13" t="s">
        <v>150</v>
      </c>
      <c r="J207" s="13" t="s">
        <v>11</v>
      </c>
      <c r="K207" s="59" t="s">
        <v>125</v>
      </c>
    </row>
    <row r="208" spans="1:11" x14ac:dyDescent="0.2">
      <c r="A208" s="20" t="s">
        <v>142</v>
      </c>
      <c r="B208" s="55">
        <v>1014</v>
      </c>
      <c r="C208" s="56">
        <v>9822</v>
      </c>
      <c r="D208" s="56" t="s">
        <v>131</v>
      </c>
      <c r="E208" s="49">
        <v>58.3</v>
      </c>
      <c r="F208" s="49">
        <v>98.4</v>
      </c>
      <c r="G208" s="49">
        <f>F208-E208</f>
        <v>40.100000000000009</v>
      </c>
      <c r="H208" s="49">
        <f>IF(F208&gt;50,G208*0.2,G208*0.1)</f>
        <v>8.0200000000000014</v>
      </c>
      <c r="I208" s="13" t="s">
        <v>150</v>
      </c>
      <c r="J208" s="13" t="s">
        <v>11</v>
      </c>
      <c r="K208" s="59" t="s">
        <v>127</v>
      </c>
    </row>
    <row r="209" spans="1:11" x14ac:dyDescent="0.2">
      <c r="A209" s="20" t="s">
        <v>143</v>
      </c>
      <c r="B209" s="55">
        <v>1007</v>
      </c>
      <c r="C209" s="56">
        <v>4421</v>
      </c>
      <c r="D209" s="56" t="s">
        <v>128</v>
      </c>
      <c r="E209" s="49">
        <v>45</v>
      </c>
      <c r="F209" s="49">
        <v>87</v>
      </c>
      <c r="G209" s="49">
        <f>F209-E209</f>
        <v>42</v>
      </c>
      <c r="H209" s="49">
        <f>IF(F209&gt;50,G209*0.2,G209*0.1)</f>
        <v>8.4</v>
      </c>
      <c r="I209" s="13" t="s">
        <v>150</v>
      </c>
      <c r="J209" s="13" t="s">
        <v>11</v>
      </c>
      <c r="K209" s="59" t="s">
        <v>133</v>
      </c>
    </row>
    <row r="210" spans="1:11" x14ac:dyDescent="0.2">
      <c r="A210" s="20" t="s">
        <v>143</v>
      </c>
      <c r="B210" s="55">
        <v>1008</v>
      </c>
      <c r="C210" s="56">
        <v>9121</v>
      </c>
      <c r="D210" s="56" t="s">
        <v>130</v>
      </c>
      <c r="E210" s="49">
        <v>4</v>
      </c>
      <c r="F210" s="49">
        <v>7</v>
      </c>
      <c r="G210" s="49">
        <f>F210-E210</f>
        <v>3</v>
      </c>
      <c r="H210" s="49">
        <f>IF(F210&gt;50,G210*0.2,G210*0.1)</f>
        <v>0.30000000000000004</v>
      </c>
      <c r="I210" s="13" t="s">
        <v>150</v>
      </c>
      <c r="J210" s="13" t="s">
        <v>11</v>
      </c>
      <c r="K210" s="59" t="s">
        <v>135</v>
      </c>
    </row>
    <row r="211" spans="1:11" x14ac:dyDescent="0.2">
      <c r="A211" s="20" t="s">
        <v>143</v>
      </c>
      <c r="B211" s="55">
        <v>1013</v>
      </c>
      <c r="C211" s="56">
        <v>2242</v>
      </c>
      <c r="D211" s="56" t="s">
        <v>137</v>
      </c>
      <c r="E211" s="49">
        <v>60</v>
      </c>
      <c r="F211" s="49">
        <v>124</v>
      </c>
      <c r="G211" s="49">
        <f>F211-E211</f>
        <v>64</v>
      </c>
      <c r="H211" s="49">
        <f>IF(F211&gt;50,G211*0.2,G211*0.1)</f>
        <v>12.8</v>
      </c>
      <c r="I211" s="13" t="s">
        <v>150</v>
      </c>
      <c r="J211" s="13" t="s">
        <v>11</v>
      </c>
      <c r="K211" s="59" t="s">
        <v>127</v>
      </c>
    </row>
    <row r="212" spans="1:11" x14ac:dyDescent="0.2">
      <c r="A212" s="20" t="s">
        <v>143</v>
      </c>
      <c r="B212" s="55">
        <v>1016</v>
      </c>
      <c r="C212" s="56">
        <v>8722</v>
      </c>
      <c r="D212" s="56" t="s">
        <v>134</v>
      </c>
      <c r="E212" s="49">
        <v>344</v>
      </c>
      <c r="F212" s="49">
        <v>502</v>
      </c>
      <c r="G212" s="49">
        <f>F212-E212</f>
        <v>158</v>
      </c>
      <c r="H212" s="49">
        <f>IF(F212&gt;50,G212*0.2,G212*0.1)</f>
        <v>31.6</v>
      </c>
      <c r="I212" s="13" t="s">
        <v>150</v>
      </c>
      <c r="J212" s="13" t="s">
        <v>11</v>
      </c>
      <c r="K212" s="59" t="s">
        <v>125</v>
      </c>
    </row>
    <row r="213" spans="1:11" x14ac:dyDescent="0.2">
      <c r="A213" s="20" t="s">
        <v>143</v>
      </c>
      <c r="B213" s="55">
        <v>1018</v>
      </c>
      <c r="C213" s="56">
        <v>9121</v>
      </c>
      <c r="D213" s="56" t="s">
        <v>130</v>
      </c>
      <c r="E213" s="49">
        <v>4</v>
      </c>
      <c r="F213" s="49">
        <v>7</v>
      </c>
      <c r="G213" s="49">
        <f>F213-E213</f>
        <v>3</v>
      </c>
      <c r="H213" s="49">
        <f>IF(F213&gt;50,G213*0.2,G213*0.1)</f>
        <v>0.30000000000000004</v>
      </c>
      <c r="I213" s="13" t="s">
        <v>150</v>
      </c>
      <c r="J213" s="13" t="s">
        <v>11</v>
      </c>
      <c r="K213" s="59" t="s">
        <v>133</v>
      </c>
    </row>
    <row r="214" spans="1:11" x14ac:dyDescent="0.2">
      <c r="A214" s="20" t="s">
        <v>143</v>
      </c>
      <c r="B214" s="55">
        <v>1020</v>
      </c>
      <c r="C214" s="56">
        <v>4421</v>
      </c>
      <c r="D214" s="56" t="s">
        <v>128</v>
      </c>
      <c r="E214" s="49">
        <v>45</v>
      </c>
      <c r="F214" s="49">
        <v>87</v>
      </c>
      <c r="G214" s="49">
        <f>F214-E214</f>
        <v>42</v>
      </c>
      <c r="H214" s="49">
        <f>IF(F214&gt;50,G214*0.2,G214*0.1)</f>
        <v>8.4</v>
      </c>
      <c r="I214" s="13" t="s">
        <v>150</v>
      </c>
      <c r="J214" s="13" t="s">
        <v>11</v>
      </c>
      <c r="K214" s="59" t="s">
        <v>133</v>
      </c>
    </row>
    <row r="215" spans="1:11" x14ac:dyDescent="0.2">
      <c r="A215" s="20" t="s">
        <v>145</v>
      </c>
      <c r="B215" s="55">
        <v>1014</v>
      </c>
      <c r="C215" s="56">
        <v>1109</v>
      </c>
      <c r="D215" s="56" t="s">
        <v>126</v>
      </c>
      <c r="E215" s="49">
        <v>3</v>
      </c>
      <c r="F215" s="49">
        <v>8</v>
      </c>
      <c r="G215" s="49">
        <f>F215-E215</f>
        <v>5</v>
      </c>
      <c r="H215" s="49">
        <f>IF(F215&gt;50,G215*0.2,G215*0.1)</f>
        <v>0.5</v>
      </c>
      <c r="I215" s="13" t="s">
        <v>155</v>
      </c>
      <c r="J215" s="13" t="s">
        <v>50</v>
      </c>
      <c r="K215" s="59" t="s">
        <v>129</v>
      </c>
    </row>
    <row r="216" spans="1:11" x14ac:dyDescent="0.2">
      <c r="A216" s="20" t="s">
        <v>144</v>
      </c>
      <c r="B216" s="55">
        <v>1002</v>
      </c>
      <c r="C216" s="56">
        <v>9121</v>
      </c>
      <c r="D216" s="56" t="s">
        <v>130</v>
      </c>
      <c r="E216" s="49">
        <v>4</v>
      </c>
      <c r="F216" s="49">
        <v>7</v>
      </c>
      <c r="G216" s="49">
        <f>F216-E216</f>
        <v>3</v>
      </c>
      <c r="H216" s="49">
        <f>IF(F216&gt;50,G216*0.2,G216*0.1)</f>
        <v>0.30000000000000004</v>
      </c>
      <c r="I216" s="13" t="s">
        <v>150</v>
      </c>
      <c r="J216" s="13" t="s">
        <v>11</v>
      </c>
      <c r="K216" s="59" t="s">
        <v>132</v>
      </c>
    </row>
    <row r="217" spans="1:11" x14ac:dyDescent="0.2">
      <c r="A217" s="20" t="s">
        <v>144</v>
      </c>
      <c r="B217" s="55">
        <v>1014</v>
      </c>
      <c r="C217" s="56">
        <v>2877</v>
      </c>
      <c r="D217" s="56" t="s">
        <v>136</v>
      </c>
      <c r="E217" s="49">
        <v>11.4</v>
      </c>
      <c r="F217" s="49">
        <v>16.3</v>
      </c>
      <c r="G217" s="49">
        <f>F217-E217</f>
        <v>4.9000000000000004</v>
      </c>
      <c r="H217" s="49">
        <f>IF(F217&gt;50,G217*0.2,G217*0.1)</f>
        <v>0.49000000000000005</v>
      </c>
      <c r="I217" s="13" t="s">
        <v>150</v>
      </c>
      <c r="J217" s="13" t="s">
        <v>11</v>
      </c>
      <c r="K217" s="59" t="s">
        <v>127</v>
      </c>
    </row>
    <row r="218" spans="1:11" x14ac:dyDescent="0.2">
      <c r="A218" s="20" t="s">
        <v>144</v>
      </c>
      <c r="B218" s="55">
        <v>1015</v>
      </c>
      <c r="C218" s="56">
        <v>2499</v>
      </c>
      <c r="D218" s="56" t="s">
        <v>124</v>
      </c>
      <c r="E218" s="49">
        <v>6.2</v>
      </c>
      <c r="F218" s="49">
        <v>9.1999999999999993</v>
      </c>
      <c r="G218" s="49">
        <f>F218-E218</f>
        <v>2.9999999999999991</v>
      </c>
      <c r="H218" s="49">
        <f>IF(F218&gt;50,G218*0.2,G218*0.1)</f>
        <v>0.29999999999999993</v>
      </c>
      <c r="I218" s="13" t="s">
        <v>150</v>
      </c>
      <c r="J218" s="13" t="s">
        <v>11</v>
      </c>
      <c r="K218" s="59" t="s">
        <v>132</v>
      </c>
    </row>
    <row r="219" spans="1:11" x14ac:dyDescent="0.2">
      <c r="A219" s="20" t="s">
        <v>144</v>
      </c>
      <c r="B219" s="55">
        <v>1016</v>
      </c>
      <c r="C219" s="56">
        <v>9121</v>
      </c>
      <c r="D219" s="56" t="s">
        <v>130</v>
      </c>
      <c r="E219" s="49">
        <v>4</v>
      </c>
      <c r="F219" s="49">
        <v>7</v>
      </c>
      <c r="G219" s="49">
        <f>F219-E219</f>
        <v>3</v>
      </c>
      <c r="H219" s="49">
        <f>IF(F219&gt;50,G219*0.2,G219*0.1)</f>
        <v>0.30000000000000004</v>
      </c>
      <c r="I219" s="13" t="s">
        <v>150</v>
      </c>
      <c r="J219" s="13" t="s">
        <v>11</v>
      </c>
      <c r="K219" s="59" t="s">
        <v>133</v>
      </c>
    </row>
    <row r="220" spans="1:11" x14ac:dyDescent="0.2">
      <c r="A220" s="20" t="s">
        <v>144</v>
      </c>
      <c r="B220" s="55">
        <v>1018</v>
      </c>
      <c r="C220" s="56">
        <v>1109</v>
      </c>
      <c r="D220" s="56" t="s">
        <v>126</v>
      </c>
      <c r="E220" s="49">
        <v>3</v>
      </c>
      <c r="F220" s="49">
        <v>8</v>
      </c>
      <c r="G220" s="49">
        <f>F220-E220</f>
        <v>5</v>
      </c>
      <c r="H220" s="49">
        <f>IF(F220&gt;50,G220*0.2,G220*0.1)</f>
        <v>0.5</v>
      </c>
      <c r="I220" s="13" t="s">
        <v>150</v>
      </c>
      <c r="J220" s="13" t="s">
        <v>11</v>
      </c>
      <c r="K220" s="59" t="s">
        <v>132</v>
      </c>
    </row>
    <row r="221" spans="1:11" x14ac:dyDescent="0.2">
      <c r="A221" s="20" t="s">
        <v>144</v>
      </c>
      <c r="B221" s="55">
        <v>1020</v>
      </c>
      <c r="C221" s="56">
        <v>2499</v>
      </c>
      <c r="D221" s="56" t="s">
        <v>124</v>
      </c>
      <c r="E221" s="49">
        <v>6.2</v>
      </c>
      <c r="F221" s="49">
        <v>9.1999999999999993</v>
      </c>
      <c r="G221" s="49">
        <f>F221-E221</f>
        <v>2.9999999999999991</v>
      </c>
      <c r="H221" s="49">
        <f>IF(F221&gt;50,G221*0.2,G221*0.1)</f>
        <v>0.29999999999999993</v>
      </c>
      <c r="I221" s="13" t="s">
        <v>150</v>
      </c>
      <c r="J221" s="13" t="s">
        <v>11</v>
      </c>
      <c r="K221" s="59" t="s">
        <v>132</v>
      </c>
    </row>
    <row r="222" spans="1:11" x14ac:dyDescent="0.2">
      <c r="A222" s="20" t="s">
        <v>145</v>
      </c>
      <c r="B222" s="55">
        <v>1005</v>
      </c>
      <c r="C222" s="56">
        <v>2877</v>
      </c>
      <c r="D222" s="56" t="s">
        <v>136</v>
      </c>
      <c r="E222" s="49">
        <v>11.4</v>
      </c>
      <c r="F222" s="49">
        <v>16.3</v>
      </c>
      <c r="G222" s="49">
        <f>F222-E222</f>
        <v>4.9000000000000004</v>
      </c>
      <c r="H222" s="49">
        <f>IF(F222&gt;50,G222*0.2,G222*0.1)</f>
        <v>0.49000000000000005</v>
      </c>
      <c r="I222" s="13" t="s">
        <v>150</v>
      </c>
      <c r="J222" s="13" t="s">
        <v>11</v>
      </c>
      <c r="K222" s="59" t="s">
        <v>133</v>
      </c>
    </row>
    <row r="223" spans="1:11" x14ac:dyDescent="0.2">
      <c r="A223" s="20" t="s">
        <v>145</v>
      </c>
      <c r="B223" s="55">
        <v>1009</v>
      </c>
      <c r="C223" s="56">
        <v>9121</v>
      </c>
      <c r="D223" s="56" t="s">
        <v>130</v>
      </c>
      <c r="E223" s="49">
        <v>4</v>
      </c>
      <c r="F223" s="49">
        <v>7</v>
      </c>
      <c r="G223" s="49">
        <f>F223-E223</f>
        <v>3</v>
      </c>
      <c r="H223" s="49">
        <f>IF(F223&gt;50,G223*0.2,G223*0.1)</f>
        <v>0.30000000000000004</v>
      </c>
      <c r="I223" s="13" t="s">
        <v>150</v>
      </c>
      <c r="J223" s="13" t="s">
        <v>11</v>
      </c>
      <c r="K223" s="59" t="s">
        <v>125</v>
      </c>
    </row>
    <row r="224" spans="1:11" x14ac:dyDescent="0.2">
      <c r="A224" s="20" t="s">
        <v>145</v>
      </c>
      <c r="B224" s="55">
        <v>1012</v>
      </c>
      <c r="C224" s="56">
        <v>1109</v>
      </c>
      <c r="D224" s="56" t="s">
        <v>126</v>
      </c>
      <c r="E224" s="49">
        <v>3</v>
      </c>
      <c r="F224" s="49">
        <v>8</v>
      </c>
      <c r="G224" s="49">
        <f>F224-E224</f>
        <v>5</v>
      </c>
      <c r="H224" s="49">
        <f>IF(F224&gt;50,G224*0.2,G224*0.1)</f>
        <v>0.5</v>
      </c>
      <c r="I224" s="13" t="s">
        <v>150</v>
      </c>
      <c r="J224" s="13" t="s">
        <v>11</v>
      </c>
      <c r="K224" s="59" t="s">
        <v>129</v>
      </c>
    </row>
    <row r="225" spans="1:11" x14ac:dyDescent="0.2">
      <c r="A225" s="20" t="s">
        <v>147</v>
      </c>
      <c r="B225" s="55">
        <v>1014</v>
      </c>
      <c r="C225" s="56">
        <v>1109</v>
      </c>
      <c r="D225" s="56" t="s">
        <v>126</v>
      </c>
      <c r="E225" s="49">
        <v>3</v>
      </c>
      <c r="F225" s="49">
        <v>8</v>
      </c>
      <c r="G225" s="49">
        <f>F225-E225</f>
        <v>5</v>
      </c>
      <c r="H225" s="49">
        <f>IF(F225&gt;50,G225*0.2,G225*0.1)</f>
        <v>0.5</v>
      </c>
      <c r="I225" s="13" t="s">
        <v>150</v>
      </c>
      <c r="J225" s="13" t="s">
        <v>11</v>
      </c>
      <c r="K225" s="59" t="s">
        <v>129</v>
      </c>
    </row>
    <row r="226" spans="1:11" x14ac:dyDescent="0.2">
      <c r="A226" s="20" t="s">
        <v>144</v>
      </c>
      <c r="B226" s="55">
        <v>1009</v>
      </c>
      <c r="C226" s="56">
        <v>9121</v>
      </c>
      <c r="D226" s="56" t="s">
        <v>130</v>
      </c>
      <c r="E226" s="49">
        <v>4</v>
      </c>
      <c r="F226" s="49">
        <v>7</v>
      </c>
      <c r="G226" s="49">
        <f>F226-E226</f>
        <v>3</v>
      </c>
      <c r="H226" s="49">
        <f>IF(F226&gt;50,G226*0.2,G226*0.1)</f>
        <v>0.30000000000000004</v>
      </c>
      <c r="I226" s="13" t="s">
        <v>151</v>
      </c>
      <c r="J226" s="13" t="s">
        <v>152</v>
      </c>
      <c r="K226" s="59" t="s">
        <v>129</v>
      </c>
    </row>
    <row r="227" spans="1:11" x14ac:dyDescent="0.2">
      <c r="A227" s="20" t="s">
        <v>146</v>
      </c>
      <c r="B227" s="55">
        <v>1011</v>
      </c>
      <c r="C227" s="56">
        <v>1109</v>
      </c>
      <c r="D227" s="56" t="s">
        <v>126</v>
      </c>
      <c r="E227" s="49">
        <v>3</v>
      </c>
      <c r="F227" s="49">
        <v>8</v>
      </c>
      <c r="G227" s="49">
        <f>F227-E227</f>
        <v>5</v>
      </c>
      <c r="H227" s="49">
        <f>IF(F227&gt;50,G227*0.2,G227*0.1)</f>
        <v>0.5</v>
      </c>
      <c r="I227" s="13" t="s">
        <v>150</v>
      </c>
      <c r="J227" s="13" t="s">
        <v>11</v>
      </c>
      <c r="K227" s="59" t="s">
        <v>125</v>
      </c>
    </row>
    <row r="228" spans="1:11" x14ac:dyDescent="0.2">
      <c r="A228" s="20" t="s">
        <v>146</v>
      </c>
      <c r="B228" s="55">
        <v>1016</v>
      </c>
      <c r="C228" s="56">
        <v>8722</v>
      </c>
      <c r="D228" s="56" t="s">
        <v>134</v>
      </c>
      <c r="E228" s="49">
        <v>344</v>
      </c>
      <c r="F228" s="49">
        <v>502</v>
      </c>
      <c r="G228" s="49">
        <f>F228-E228</f>
        <v>158</v>
      </c>
      <c r="H228" s="49">
        <f>IF(F228&gt;50,G228*0.2,G228*0.1)</f>
        <v>31.6</v>
      </c>
      <c r="I228" s="13" t="s">
        <v>150</v>
      </c>
      <c r="J228" s="13" t="s">
        <v>11</v>
      </c>
      <c r="K228" s="59" t="s">
        <v>125</v>
      </c>
    </row>
    <row r="229" spans="1:11" x14ac:dyDescent="0.2">
      <c r="A229" s="20" t="s">
        <v>146</v>
      </c>
      <c r="B229" s="55">
        <v>1017</v>
      </c>
      <c r="C229" s="56">
        <v>2877</v>
      </c>
      <c r="D229" s="56" t="s">
        <v>136</v>
      </c>
      <c r="E229" s="49">
        <v>11.4</v>
      </c>
      <c r="F229" s="49">
        <v>16.3</v>
      </c>
      <c r="G229" s="49">
        <f>F229-E229</f>
        <v>4.9000000000000004</v>
      </c>
      <c r="H229" s="49">
        <f>IF(F229&gt;50,G229*0.2,G229*0.1)</f>
        <v>0.49000000000000005</v>
      </c>
      <c r="I229" s="13" t="s">
        <v>150</v>
      </c>
      <c r="J229" s="13" t="s">
        <v>11</v>
      </c>
      <c r="K229" s="59" t="s">
        <v>132</v>
      </c>
    </row>
    <row r="230" spans="1:11" x14ac:dyDescent="0.2">
      <c r="A230" s="20" t="s">
        <v>147</v>
      </c>
      <c r="B230" s="55">
        <v>1003</v>
      </c>
      <c r="C230" s="56">
        <v>2499</v>
      </c>
      <c r="D230" s="56" t="s">
        <v>124</v>
      </c>
      <c r="E230" s="49">
        <v>6.2</v>
      </c>
      <c r="F230" s="49">
        <v>9.1999999999999993</v>
      </c>
      <c r="G230" s="49">
        <f>F230-E230</f>
        <v>2.9999999999999991</v>
      </c>
      <c r="H230" s="49">
        <f>IF(F230&gt;50,G230*0.2,G230*0.1)</f>
        <v>0.29999999999999993</v>
      </c>
      <c r="I230" s="13" t="s">
        <v>150</v>
      </c>
      <c r="J230" s="13" t="s">
        <v>11</v>
      </c>
      <c r="K230" s="59" t="s">
        <v>127</v>
      </c>
    </row>
    <row r="231" spans="1:11" x14ac:dyDescent="0.2">
      <c r="A231" s="20" t="s">
        <v>147</v>
      </c>
      <c r="B231" s="55">
        <v>1005</v>
      </c>
      <c r="C231" s="56">
        <v>2877</v>
      </c>
      <c r="D231" s="56" t="s">
        <v>136</v>
      </c>
      <c r="E231" s="49">
        <v>11.4</v>
      </c>
      <c r="F231" s="49">
        <v>16.3</v>
      </c>
      <c r="G231" s="49">
        <f>F231-E231</f>
        <v>4.9000000000000004</v>
      </c>
      <c r="H231" s="49">
        <f>IF(F231&gt;50,G231*0.2,G231*0.1)</f>
        <v>0.49000000000000005</v>
      </c>
      <c r="I231" s="13" t="s">
        <v>150</v>
      </c>
      <c r="J231" s="13" t="s">
        <v>11</v>
      </c>
      <c r="K231" s="59" t="s">
        <v>125</v>
      </c>
    </row>
    <row r="232" spans="1:11" x14ac:dyDescent="0.2">
      <c r="A232" s="20" t="s">
        <v>146</v>
      </c>
      <c r="B232" s="55">
        <v>1012</v>
      </c>
      <c r="C232" s="56">
        <v>9121</v>
      </c>
      <c r="D232" s="56" t="s">
        <v>130</v>
      </c>
      <c r="E232" s="49">
        <v>4</v>
      </c>
      <c r="F232" s="49">
        <v>7</v>
      </c>
      <c r="G232" s="49">
        <f>F232-E232</f>
        <v>3</v>
      </c>
      <c r="H232" s="49">
        <f>IF(F232&gt;50,G232*0.2,G232*0.1)</f>
        <v>0.30000000000000004</v>
      </c>
      <c r="I232" s="13" t="s">
        <v>155</v>
      </c>
      <c r="J232" s="13" t="s">
        <v>50</v>
      </c>
      <c r="K232" s="59" t="s">
        <v>129</v>
      </c>
    </row>
    <row r="233" spans="1:11" x14ac:dyDescent="0.2">
      <c r="A233" s="20" t="s">
        <v>123</v>
      </c>
      <c r="B233" s="55">
        <v>1004</v>
      </c>
      <c r="C233" s="56">
        <v>9121</v>
      </c>
      <c r="D233" s="56" t="s">
        <v>130</v>
      </c>
      <c r="E233" s="49">
        <v>4</v>
      </c>
      <c r="F233" s="49">
        <v>7</v>
      </c>
      <c r="G233" s="49">
        <f>F233-E233</f>
        <v>3</v>
      </c>
      <c r="H233" s="49">
        <f>IF(F233&gt;50,G233*0.2,G233*0.1)</f>
        <v>0.30000000000000004</v>
      </c>
      <c r="I233" s="13" t="s">
        <v>150</v>
      </c>
      <c r="J233" s="13" t="s">
        <v>11</v>
      </c>
      <c r="K233" s="59" t="s">
        <v>129</v>
      </c>
    </row>
    <row r="234" spans="1:11" x14ac:dyDescent="0.2">
      <c r="A234" s="20" t="s">
        <v>147</v>
      </c>
      <c r="B234" s="55">
        <v>1020</v>
      </c>
      <c r="C234" s="56">
        <v>9822</v>
      </c>
      <c r="D234" s="56" t="s">
        <v>131</v>
      </c>
      <c r="E234" s="49">
        <v>58.3</v>
      </c>
      <c r="F234" s="49">
        <v>98.4</v>
      </c>
      <c r="G234" s="49">
        <f>F234-E234</f>
        <v>40.100000000000009</v>
      </c>
      <c r="H234" s="49">
        <f>IF(F234&gt;50,G234*0.2,G234*0.1)</f>
        <v>8.0200000000000014</v>
      </c>
      <c r="I234" s="13" t="s">
        <v>150</v>
      </c>
      <c r="J234" s="13" t="s">
        <v>11</v>
      </c>
      <c r="K234" s="59" t="s">
        <v>125</v>
      </c>
    </row>
    <row r="235" spans="1:11" x14ac:dyDescent="0.2">
      <c r="A235" s="20" t="s">
        <v>148</v>
      </c>
      <c r="B235" s="55">
        <v>1001</v>
      </c>
      <c r="C235" s="56">
        <v>2877</v>
      </c>
      <c r="D235" s="56" t="s">
        <v>136</v>
      </c>
      <c r="E235" s="49">
        <v>11.4</v>
      </c>
      <c r="F235" s="49">
        <v>16.3</v>
      </c>
      <c r="G235" s="49">
        <f>F235-E235</f>
        <v>4.9000000000000004</v>
      </c>
      <c r="H235" s="49">
        <f>IF(F235&gt;50,G235*0.2,G235*0.1)</f>
        <v>0.49000000000000005</v>
      </c>
      <c r="I235" s="13" t="s">
        <v>150</v>
      </c>
      <c r="J235" s="13" t="s">
        <v>11</v>
      </c>
      <c r="K235" s="59" t="s">
        <v>127</v>
      </c>
    </row>
    <row r="236" spans="1:11" x14ac:dyDescent="0.2">
      <c r="A236" s="20" t="s">
        <v>148</v>
      </c>
      <c r="B236" s="55">
        <v>1006</v>
      </c>
      <c r="C236" s="56">
        <v>2242</v>
      </c>
      <c r="D236" s="56" t="s">
        <v>137</v>
      </c>
      <c r="E236" s="49">
        <v>60</v>
      </c>
      <c r="F236" s="49">
        <v>124</v>
      </c>
      <c r="G236" s="49">
        <f>F236-E236</f>
        <v>64</v>
      </c>
      <c r="H236" s="49">
        <f>IF(F236&gt;50,G236*0.2,G236*0.1)</f>
        <v>12.8</v>
      </c>
      <c r="I236" s="13" t="s">
        <v>150</v>
      </c>
      <c r="J236" s="13" t="s">
        <v>11</v>
      </c>
      <c r="K236" s="59" t="s">
        <v>127</v>
      </c>
    </row>
    <row r="237" spans="1:11" x14ac:dyDescent="0.2">
      <c r="A237" s="20" t="s">
        <v>148</v>
      </c>
      <c r="B237" s="55">
        <v>1007</v>
      </c>
      <c r="C237" s="56">
        <v>9121</v>
      </c>
      <c r="D237" s="56" t="s">
        <v>130</v>
      </c>
      <c r="E237" s="49">
        <v>4</v>
      </c>
      <c r="F237" s="49">
        <v>7</v>
      </c>
      <c r="G237" s="49">
        <f>F237-E237</f>
        <v>3</v>
      </c>
      <c r="H237" s="49">
        <f>IF(F237&gt;50,G237*0.2,G237*0.1)</f>
        <v>0.30000000000000004</v>
      </c>
      <c r="I237" s="13" t="s">
        <v>150</v>
      </c>
      <c r="J237" s="13" t="s">
        <v>11</v>
      </c>
      <c r="K237" s="59" t="s">
        <v>133</v>
      </c>
    </row>
    <row r="238" spans="1:11" x14ac:dyDescent="0.2">
      <c r="A238" s="20" t="s">
        <v>141</v>
      </c>
      <c r="B238" s="55">
        <v>1017</v>
      </c>
      <c r="C238" s="56">
        <v>9121</v>
      </c>
      <c r="D238" s="56" t="s">
        <v>130</v>
      </c>
      <c r="E238" s="49">
        <v>4</v>
      </c>
      <c r="F238" s="49">
        <v>7</v>
      </c>
      <c r="G238" s="49">
        <f>F238-E238</f>
        <v>3</v>
      </c>
      <c r="H238" s="49">
        <f>IF(F238&gt;50,G238*0.2,G238*0.1)</f>
        <v>0.30000000000000004</v>
      </c>
      <c r="I238" s="13" t="s">
        <v>150</v>
      </c>
      <c r="J238" s="13" t="s">
        <v>11</v>
      </c>
      <c r="K238" s="59" t="s">
        <v>129</v>
      </c>
    </row>
    <row r="239" spans="1:11" x14ac:dyDescent="0.2">
      <c r="A239" s="20" t="s">
        <v>148</v>
      </c>
      <c r="B239" s="55">
        <v>1012</v>
      </c>
      <c r="C239" s="56">
        <v>1109</v>
      </c>
      <c r="D239" s="56" t="s">
        <v>126</v>
      </c>
      <c r="E239" s="49">
        <v>3</v>
      </c>
      <c r="F239" s="49">
        <v>8</v>
      </c>
      <c r="G239" s="49">
        <f>F239-E239</f>
        <v>5</v>
      </c>
      <c r="H239" s="49">
        <f>IF(F239&gt;50,G239*0.2,G239*0.1)</f>
        <v>0.5</v>
      </c>
      <c r="I239" s="13" t="s">
        <v>150</v>
      </c>
      <c r="J239" s="13" t="s">
        <v>11</v>
      </c>
      <c r="K239" s="59" t="s">
        <v>127</v>
      </c>
    </row>
    <row r="240" spans="1:11" x14ac:dyDescent="0.2">
      <c r="A240" s="20" t="s">
        <v>148</v>
      </c>
      <c r="B240" s="55">
        <v>1014</v>
      </c>
      <c r="C240" s="56">
        <v>9121</v>
      </c>
      <c r="D240" s="56" t="s">
        <v>130</v>
      </c>
      <c r="E240" s="49">
        <v>4</v>
      </c>
      <c r="F240" s="49">
        <v>7</v>
      </c>
      <c r="G240" s="49">
        <f>F240-E240</f>
        <v>3</v>
      </c>
      <c r="H240" s="49">
        <f>IF(F240&gt;50,G240*0.2,G240*0.1)</f>
        <v>0.30000000000000004</v>
      </c>
      <c r="I240" s="13" t="s">
        <v>150</v>
      </c>
      <c r="J240" s="13" t="s">
        <v>11</v>
      </c>
      <c r="K240" s="59" t="s">
        <v>127</v>
      </c>
    </row>
    <row r="241" spans="1:11" x14ac:dyDescent="0.2">
      <c r="A241" s="20" t="s">
        <v>148</v>
      </c>
      <c r="B241" s="55">
        <v>1015</v>
      </c>
      <c r="C241" s="56">
        <v>4421</v>
      </c>
      <c r="D241" s="56" t="s">
        <v>128</v>
      </c>
      <c r="E241" s="49">
        <v>45</v>
      </c>
      <c r="F241" s="49">
        <v>87</v>
      </c>
      <c r="G241" s="49">
        <f>F241-E241</f>
        <v>42</v>
      </c>
      <c r="H241" s="49">
        <f>IF(F241&gt;50,G241*0.2,G241*0.1)</f>
        <v>8.4</v>
      </c>
      <c r="I241" s="13" t="s">
        <v>150</v>
      </c>
      <c r="J241" s="13" t="s">
        <v>11</v>
      </c>
      <c r="K241" s="59" t="s">
        <v>132</v>
      </c>
    </row>
    <row r="242" spans="1:11" x14ac:dyDescent="0.2">
      <c r="A242" s="20" t="s">
        <v>148</v>
      </c>
      <c r="B242" s="55">
        <v>1018</v>
      </c>
      <c r="C242" s="56">
        <v>9822</v>
      </c>
      <c r="D242" s="56" t="s">
        <v>131</v>
      </c>
      <c r="E242" s="49">
        <v>58.3</v>
      </c>
      <c r="F242" s="49">
        <v>98.4</v>
      </c>
      <c r="G242" s="49">
        <f>F242-E242</f>
        <v>40.100000000000009</v>
      </c>
      <c r="H242" s="49">
        <f>IF(F242&gt;50,G242*0.2,G242*0.1)</f>
        <v>8.0200000000000014</v>
      </c>
      <c r="I242" s="13" t="s">
        <v>150</v>
      </c>
      <c r="J242" s="13" t="s">
        <v>11</v>
      </c>
      <c r="K242" s="59" t="s">
        <v>127</v>
      </c>
    </row>
    <row r="243" spans="1:11" x14ac:dyDescent="0.2">
      <c r="A243" s="20" t="s">
        <v>148</v>
      </c>
      <c r="B243" s="55">
        <v>1020</v>
      </c>
      <c r="C243" s="56">
        <v>2499</v>
      </c>
      <c r="D243" s="56" t="s">
        <v>124</v>
      </c>
      <c r="E243" s="49">
        <v>6.2</v>
      </c>
      <c r="F243" s="49">
        <v>9.1999999999999993</v>
      </c>
      <c r="G243" s="49">
        <f>F243-E243</f>
        <v>2.9999999999999991</v>
      </c>
      <c r="H243" s="49">
        <f>IF(F243&gt;50,G243*0.2,G243*0.1)</f>
        <v>0.29999999999999993</v>
      </c>
      <c r="I243" s="13" t="s">
        <v>150</v>
      </c>
      <c r="J243" s="13" t="s">
        <v>11</v>
      </c>
      <c r="K243" s="59" t="s">
        <v>133</v>
      </c>
    </row>
    <row r="246" spans="1:11" x14ac:dyDescent="0.2">
      <c r="A246" t="s">
        <v>158</v>
      </c>
      <c r="D246" s="57">
        <f>SUM(F4:F243)</f>
        <v>22119.400000000009</v>
      </c>
      <c r="F246" s="24" t="s">
        <v>363</v>
      </c>
      <c r="H246" s="24">
        <f>SUBTOTAL(109,F4:F243)</f>
        <v>22119.400000000009</v>
      </c>
    </row>
    <row r="247" spans="1:11" x14ac:dyDescent="0.2">
      <c r="A247" t="s">
        <v>159</v>
      </c>
      <c r="D247" s="58">
        <f>SUMIF(F4:F243,"&gt;50")</f>
        <v>20782.000000000007</v>
      </c>
    </row>
    <row r="248" spans="1:11" x14ac:dyDescent="0.2">
      <c r="A248" t="s">
        <v>160</v>
      </c>
      <c r="D248" s="53">
        <f>SUMIF(F4:F243,"&lt;=50")</f>
        <v>1337.3999999999999</v>
      </c>
    </row>
  </sheetData>
  <autoFilter ref="A3:K243" xr:uid="{2EBD8818-9692-DA47-9D9A-2883DE674179}">
    <sortState xmlns:xlrd2="http://schemas.microsoft.com/office/spreadsheetml/2017/richdata2" ref="A12:K238">
      <sortCondition descending="1" ref="F3:F243"/>
    </sortState>
  </autoFilter>
  <sortState xmlns:xlrd2="http://schemas.microsoft.com/office/spreadsheetml/2017/richdata2" ref="A4:K243">
    <sortCondition ref="J4:J243"/>
  </sortState>
  <conditionalFormatting sqref="G4:G24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{94F120F1-1201-A34C-9476-E415A3066BB2}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120F1-1201-A34C-9476-E415A3066B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G4:G243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8BA0-1E3A-8846-8BE9-3533074C6CB5}">
  <dimension ref="A3:C42"/>
  <sheetViews>
    <sheetView workbookViewId="0">
      <selection activeCell="F21" sqref="F21"/>
    </sheetView>
  </sheetViews>
  <sheetFormatPr baseColWidth="10" defaultRowHeight="16" x14ac:dyDescent="0.2"/>
  <cols>
    <col min="1" max="1" width="13" bestFit="1" customWidth="1"/>
    <col min="2" max="3" width="11.83203125" bestFit="1" customWidth="1"/>
  </cols>
  <sheetData>
    <row r="3" spans="1:3" x14ac:dyDescent="0.2">
      <c r="A3" s="26" t="s">
        <v>161</v>
      </c>
      <c r="B3" t="s">
        <v>163</v>
      </c>
      <c r="C3" t="s">
        <v>164</v>
      </c>
    </row>
    <row r="4" spans="1:3" x14ac:dyDescent="0.2">
      <c r="A4" s="27" t="s">
        <v>154</v>
      </c>
      <c r="B4" s="3">
        <v>3775.2</v>
      </c>
      <c r="C4" s="3">
        <v>1538.6999999999998</v>
      </c>
    </row>
    <row r="5" spans="1:3" x14ac:dyDescent="0.2">
      <c r="A5" s="27" t="s">
        <v>152</v>
      </c>
      <c r="B5" s="3">
        <v>7174.6</v>
      </c>
      <c r="C5" s="3">
        <v>2669.5000000000005</v>
      </c>
    </row>
    <row r="6" spans="1:3" x14ac:dyDescent="0.2">
      <c r="A6" s="27" t="s">
        <v>50</v>
      </c>
      <c r="B6" s="3">
        <v>5149.6000000000004</v>
      </c>
      <c r="C6" s="3">
        <v>2039.7000000000003</v>
      </c>
    </row>
    <row r="7" spans="1:3" x14ac:dyDescent="0.2">
      <c r="A7" s="27" t="s">
        <v>11</v>
      </c>
      <c r="B7" s="3">
        <v>6020</v>
      </c>
      <c r="C7" s="3">
        <v>2314.0000000000005</v>
      </c>
    </row>
    <row r="8" spans="1:3" x14ac:dyDescent="0.2">
      <c r="A8" s="27" t="s">
        <v>162</v>
      </c>
      <c r="B8" s="3">
        <v>22119.4</v>
      </c>
      <c r="C8" s="3">
        <v>8561.9000000000015</v>
      </c>
    </row>
    <row r="13" spans="1:3" x14ac:dyDescent="0.2">
      <c r="A13" s="26" t="s">
        <v>161</v>
      </c>
      <c r="B13" t="s">
        <v>164</v>
      </c>
    </row>
    <row r="14" spans="1:3" x14ac:dyDescent="0.2">
      <c r="A14" s="27" t="s">
        <v>153</v>
      </c>
      <c r="B14" s="3">
        <v>1538.7</v>
      </c>
    </row>
    <row r="15" spans="1:3" x14ac:dyDescent="0.2">
      <c r="A15" s="28" t="s">
        <v>129</v>
      </c>
      <c r="B15" s="3">
        <v>243.10000000000002</v>
      </c>
    </row>
    <row r="16" spans="1:3" x14ac:dyDescent="0.2">
      <c r="A16" s="28" t="s">
        <v>125</v>
      </c>
      <c r="B16" s="3">
        <v>219.20000000000002</v>
      </c>
    </row>
    <row r="17" spans="1:2" x14ac:dyDescent="0.2">
      <c r="A17" s="28" t="s">
        <v>132</v>
      </c>
      <c r="B17" s="3">
        <v>392.9</v>
      </c>
    </row>
    <row r="18" spans="1:2" x14ac:dyDescent="0.2">
      <c r="A18" s="28" t="s">
        <v>127</v>
      </c>
      <c r="B18" s="3">
        <v>276.79999999999995</v>
      </c>
    </row>
    <row r="19" spans="1:2" x14ac:dyDescent="0.2">
      <c r="A19" s="28" t="s">
        <v>135</v>
      </c>
      <c r="B19" s="3">
        <v>257.89999999999998</v>
      </c>
    </row>
    <row r="20" spans="1:2" x14ac:dyDescent="0.2">
      <c r="A20" s="28" t="s">
        <v>133</v>
      </c>
      <c r="B20" s="3">
        <v>148.80000000000001</v>
      </c>
    </row>
    <row r="21" spans="1:2" x14ac:dyDescent="0.2">
      <c r="A21" s="27" t="s">
        <v>150</v>
      </c>
      <c r="B21" s="3">
        <v>2314</v>
      </c>
    </row>
    <row r="22" spans="1:2" x14ac:dyDescent="0.2">
      <c r="A22" s="28" t="s">
        <v>129</v>
      </c>
      <c r="B22" s="3">
        <v>489.20000000000005</v>
      </c>
    </row>
    <row r="23" spans="1:2" x14ac:dyDescent="0.2">
      <c r="A23" s="28" t="s">
        <v>125</v>
      </c>
      <c r="B23" s="3">
        <v>622.20000000000005</v>
      </c>
    </row>
    <row r="24" spans="1:2" x14ac:dyDescent="0.2">
      <c r="A24" s="28" t="s">
        <v>132</v>
      </c>
      <c r="B24" s="3">
        <v>263.89999999999998</v>
      </c>
    </row>
    <row r="25" spans="1:2" x14ac:dyDescent="0.2">
      <c r="A25" s="28" t="s">
        <v>127</v>
      </c>
      <c r="B25" s="3">
        <v>401.8</v>
      </c>
    </row>
    <row r="26" spans="1:2" x14ac:dyDescent="0.2">
      <c r="A26" s="28" t="s">
        <v>135</v>
      </c>
      <c r="B26" s="3">
        <v>288.8</v>
      </c>
    </row>
    <row r="27" spans="1:2" x14ac:dyDescent="0.2">
      <c r="A27" s="28" t="s">
        <v>133</v>
      </c>
      <c r="B27" s="3">
        <v>248.10000000000002</v>
      </c>
    </row>
    <row r="28" spans="1:2" x14ac:dyDescent="0.2">
      <c r="A28" s="27" t="s">
        <v>155</v>
      </c>
      <c r="B28" s="3">
        <v>2039.7</v>
      </c>
    </row>
    <row r="29" spans="1:2" x14ac:dyDescent="0.2">
      <c r="A29" s="28" t="s">
        <v>129</v>
      </c>
      <c r="B29" s="3">
        <v>562.79999999999995</v>
      </c>
    </row>
    <row r="30" spans="1:2" x14ac:dyDescent="0.2">
      <c r="A30" s="28" t="s">
        <v>125</v>
      </c>
      <c r="B30" s="3">
        <v>298.10000000000002</v>
      </c>
    </row>
    <row r="31" spans="1:2" x14ac:dyDescent="0.2">
      <c r="A31" s="28" t="s">
        <v>132</v>
      </c>
      <c r="B31" s="3">
        <v>341.20000000000005</v>
      </c>
    </row>
    <row r="32" spans="1:2" x14ac:dyDescent="0.2">
      <c r="A32" s="28" t="s">
        <v>127</v>
      </c>
      <c r="B32" s="3">
        <v>65.900000000000006</v>
      </c>
    </row>
    <row r="33" spans="1:2" x14ac:dyDescent="0.2">
      <c r="A33" s="28" t="s">
        <v>135</v>
      </c>
      <c r="B33" s="3">
        <v>473</v>
      </c>
    </row>
    <row r="34" spans="1:2" x14ac:dyDescent="0.2">
      <c r="A34" s="28" t="s">
        <v>133</v>
      </c>
      <c r="B34" s="3">
        <v>298.7</v>
      </c>
    </row>
    <row r="35" spans="1:2" x14ac:dyDescent="0.2">
      <c r="A35" s="27" t="s">
        <v>151</v>
      </c>
      <c r="B35" s="3">
        <v>2669.5</v>
      </c>
    </row>
    <row r="36" spans="1:2" x14ac:dyDescent="0.2">
      <c r="A36" s="28" t="s">
        <v>129</v>
      </c>
      <c r="B36" s="3">
        <v>259.7</v>
      </c>
    </row>
    <row r="37" spans="1:2" x14ac:dyDescent="0.2">
      <c r="A37" s="28" t="s">
        <v>125</v>
      </c>
      <c r="B37" s="3">
        <v>72.8</v>
      </c>
    </row>
    <row r="38" spans="1:2" x14ac:dyDescent="0.2">
      <c r="A38" s="28" t="s">
        <v>132</v>
      </c>
      <c r="B38" s="3">
        <v>573</v>
      </c>
    </row>
    <row r="39" spans="1:2" x14ac:dyDescent="0.2">
      <c r="A39" s="28" t="s">
        <v>127</v>
      </c>
      <c r="B39" s="3">
        <v>369.9</v>
      </c>
    </row>
    <row r="40" spans="1:2" x14ac:dyDescent="0.2">
      <c r="A40" s="28" t="s">
        <v>135</v>
      </c>
      <c r="B40" s="3">
        <v>817.1</v>
      </c>
    </row>
    <row r="41" spans="1:2" x14ac:dyDescent="0.2">
      <c r="A41" s="28" t="s">
        <v>133</v>
      </c>
      <c r="B41" s="3">
        <v>577</v>
      </c>
    </row>
    <row r="42" spans="1:2" x14ac:dyDescent="0.2">
      <c r="A42" s="27" t="s">
        <v>162</v>
      </c>
      <c r="B42" s="3">
        <v>8561.9000000000015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9470-2C80-534D-96A2-126309DBA288}">
  <dimension ref="A1:V73"/>
  <sheetViews>
    <sheetView workbookViewId="0">
      <selection activeCell="P48" sqref="P48"/>
    </sheetView>
  </sheetViews>
  <sheetFormatPr baseColWidth="10" defaultRowHeight="16" x14ac:dyDescent="0.2"/>
  <cols>
    <col min="1" max="1" width="13" bestFit="1" customWidth="1"/>
    <col min="2" max="2" width="14.1640625" bestFit="1" customWidth="1"/>
    <col min="3" max="3" width="15.33203125" bestFit="1" customWidth="1"/>
    <col min="4" max="4" width="6.1640625" bestFit="1" customWidth="1"/>
    <col min="5" max="5" width="16" bestFit="1" customWidth="1"/>
    <col min="6" max="6" width="15.5" style="4" bestFit="1" customWidth="1"/>
    <col min="7" max="7" width="4" bestFit="1" customWidth="1"/>
    <col min="8" max="8" width="11.5" style="29" bestFit="1" customWidth="1"/>
    <col min="9" max="9" width="10.83203125" style="29" bestFit="1" customWidth="1"/>
    <col min="10" max="10" width="6.1640625" bestFit="1" customWidth="1"/>
    <col min="11" max="11" width="9.1640625" bestFit="1" customWidth="1"/>
    <col min="12" max="12" width="13.83203125" bestFit="1" customWidth="1"/>
    <col min="13" max="13" width="8.83203125" bestFit="1" customWidth="1"/>
    <col min="14" max="14" width="16.6640625" bestFit="1" customWidth="1"/>
    <col min="16" max="16" width="13" bestFit="1" customWidth="1"/>
    <col min="17" max="17" width="11.6640625" bestFit="1" customWidth="1"/>
    <col min="18" max="18" width="15.5" bestFit="1" customWidth="1"/>
  </cols>
  <sheetData>
    <row r="1" spans="1:22" s="19" customFormat="1" ht="34" x14ac:dyDescent="0.2">
      <c r="A1" s="35" t="s">
        <v>165</v>
      </c>
      <c r="B1" s="35" t="s">
        <v>166</v>
      </c>
      <c r="C1" s="35" t="s">
        <v>167</v>
      </c>
      <c r="D1" s="35" t="s">
        <v>168</v>
      </c>
      <c r="E1" s="35" t="s">
        <v>169</v>
      </c>
      <c r="F1" s="35" t="s">
        <v>170</v>
      </c>
      <c r="G1" s="35" t="s">
        <v>171</v>
      </c>
      <c r="H1" s="35" t="s">
        <v>172</v>
      </c>
      <c r="I1" s="36" t="s">
        <v>173</v>
      </c>
      <c r="J1" s="35" t="s">
        <v>174</v>
      </c>
      <c r="K1" s="35" t="s">
        <v>175</v>
      </c>
      <c r="L1" s="35" t="s">
        <v>176</v>
      </c>
      <c r="M1" s="35" t="s">
        <v>177</v>
      </c>
      <c r="N1" s="35" t="s">
        <v>178</v>
      </c>
    </row>
    <row r="2" spans="1:22" ht="19" x14ac:dyDescent="0.25">
      <c r="A2" s="32" t="s">
        <v>179</v>
      </c>
      <c r="B2" s="32" t="str">
        <f>LEFT(A2,2)</f>
        <v>FD</v>
      </c>
      <c r="C2" s="32" t="str">
        <f>VLOOKUP(B2,B$56:C$61,2)</f>
        <v>Ford</v>
      </c>
      <c r="D2" s="32" t="str">
        <f>MID(A2,5,3)</f>
        <v>MTG</v>
      </c>
      <c r="E2" s="32" t="str">
        <f>VLOOKUP(D2,B$63:C$73,2)</f>
        <v>Mustang</v>
      </c>
      <c r="F2" s="33" t="str">
        <f>MID(A2,3,2)</f>
        <v>06</v>
      </c>
      <c r="G2">
        <f>IF(VALUE(F2) &lt;= 14, 2014 - (2000 + F2), 2014 - (1900 + F2))</f>
        <v>8</v>
      </c>
      <c r="H2" s="29">
        <v>40326.800000000003</v>
      </c>
      <c r="I2" s="34">
        <f>IF(G2=0,H2,H2/G2)</f>
        <v>5040.8500000000004</v>
      </c>
      <c r="J2" s="32" t="s">
        <v>180</v>
      </c>
      <c r="K2" s="32" t="s">
        <v>11</v>
      </c>
      <c r="L2" s="32">
        <v>50000</v>
      </c>
      <c r="M2" s="32" t="str">
        <f>IF(H2&lt;=L2,"yes","no")</f>
        <v>yes</v>
      </c>
      <c r="N2" s="32" t="str">
        <f>_xlfn.CONCAT(LEFT(A2,7),UPPER(LEFT(J2,3)),RIGHT(A2,3))</f>
        <v>FD06MTGBLA001</v>
      </c>
      <c r="P2" s="31" t="s">
        <v>285</v>
      </c>
      <c r="Q2" s="20"/>
      <c r="R2" s="20"/>
      <c r="S2" s="20"/>
      <c r="T2" s="20"/>
      <c r="U2" s="20"/>
      <c r="V2" s="20"/>
    </row>
    <row r="3" spans="1:22" x14ac:dyDescent="0.2">
      <c r="A3" s="32" t="s">
        <v>181</v>
      </c>
      <c r="B3" s="32" t="str">
        <f t="shared" ref="B3:B53" si="0">LEFT(A3,2)</f>
        <v>FD</v>
      </c>
      <c r="C3" s="32" t="str">
        <f>VLOOKUP(B3,B$56:C$61,2)</f>
        <v>Ford</v>
      </c>
      <c r="D3" s="32" t="str">
        <f t="shared" ref="D3:D53" si="1">MID(A3,5,3)</f>
        <v>MTG</v>
      </c>
      <c r="E3" s="32" t="str">
        <f>VLOOKUP(D3,B$63:C$73,2)</f>
        <v>Mustang</v>
      </c>
      <c r="F3" s="33" t="str">
        <f t="shared" ref="F3:F53" si="2">MID(A3,3,2)</f>
        <v>06</v>
      </c>
      <c r="G3">
        <f t="shared" ref="G3:G53" si="3">IF(VALUE(F3) &lt;= 14, 2014 - (2000 + F3), 2014 - (1900 + F3))</f>
        <v>8</v>
      </c>
      <c r="H3" s="29">
        <v>44974.8</v>
      </c>
      <c r="I3" s="34">
        <f t="shared" ref="I3:I53" si="4">IF(G3=0,H3,H3/G3)</f>
        <v>5621.85</v>
      </c>
      <c r="J3" s="32" t="s">
        <v>182</v>
      </c>
      <c r="K3" s="32" t="s">
        <v>183</v>
      </c>
      <c r="L3" s="32">
        <v>50000</v>
      </c>
      <c r="M3" s="32" t="str">
        <f t="shared" ref="M3:M53" si="5">IF(H3&lt;=L3,"yes","no")</f>
        <v>yes</v>
      </c>
      <c r="N3" s="32" t="str">
        <f>_xlfn.CONCAT(LEFT(A3,7),UPPER(LEFT(J3,3)),RIGHT(A3,3))</f>
        <v>FD06MTGWHI002</v>
      </c>
      <c r="P3" s="15" t="s">
        <v>165</v>
      </c>
      <c r="Q3" s="20" t="s">
        <v>179</v>
      </c>
      <c r="R3" s="20"/>
      <c r="S3" s="20"/>
      <c r="T3" s="20"/>
      <c r="U3" s="20"/>
      <c r="V3" s="20"/>
    </row>
    <row r="4" spans="1:22" x14ac:dyDescent="0.2">
      <c r="A4" s="32" t="s">
        <v>184</v>
      </c>
      <c r="B4" s="32" t="str">
        <f t="shared" si="0"/>
        <v>FD</v>
      </c>
      <c r="C4" s="32" t="str">
        <f>VLOOKUP(B4,B$56:C$61,2)</f>
        <v>Ford</v>
      </c>
      <c r="D4" s="32" t="str">
        <f t="shared" si="1"/>
        <v>MTG</v>
      </c>
      <c r="E4" s="32" t="str">
        <f>VLOOKUP(D4,B$63:C$73,2)</f>
        <v>Mustang</v>
      </c>
      <c r="F4" s="33" t="str">
        <f t="shared" si="2"/>
        <v>08</v>
      </c>
      <c r="G4">
        <f t="shared" si="3"/>
        <v>6</v>
      </c>
      <c r="H4" s="29">
        <v>44946.5</v>
      </c>
      <c r="I4" s="34">
        <f t="shared" si="4"/>
        <v>7491.083333333333</v>
      </c>
      <c r="J4" s="32" t="s">
        <v>185</v>
      </c>
      <c r="K4" s="32" t="s">
        <v>186</v>
      </c>
      <c r="L4" s="32">
        <v>50000</v>
      </c>
      <c r="M4" s="32" t="str">
        <f t="shared" si="5"/>
        <v>yes</v>
      </c>
      <c r="N4" s="32" t="str">
        <f>_xlfn.CONCAT(LEFT(A4,7),UPPER(LEFT(J4,3)),RIGHT(A4,3))</f>
        <v>FD08MTGGRE003</v>
      </c>
      <c r="P4" s="15" t="s">
        <v>283</v>
      </c>
      <c r="Q4" s="13" t="s">
        <v>168</v>
      </c>
      <c r="R4" s="13" t="s">
        <v>170</v>
      </c>
      <c r="S4" s="13" t="s">
        <v>172</v>
      </c>
      <c r="T4" s="13" t="s">
        <v>174</v>
      </c>
      <c r="U4" s="13" t="s">
        <v>284</v>
      </c>
      <c r="V4" s="13" t="s">
        <v>175</v>
      </c>
    </row>
    <row r="5" spans="1:22" x14ac:dyDescent="0.2">
      <c r="A5" s="32" t="s">
        <v>187</v>
      </c>
      <c r="B5" s="32" t="str">
        <f t="shared" si="0"/>
        <v>FD</v>
      </c>
      <c r="C5" s="32" t="str">
        <f>VLOOKUP(B5,B$56:C$61,2)</f>
        <v>Ford</v>
      </c>
      <c r="D5" s="32" t="str">
        <f t="shared" si="1"/>
        <v>MTG</v>
      </c>
      <c r="E5" s="32" t="str">
        <f>VLOOKUP(D5,B$63:C$73,2)</f>
        <v>Mustang</v>
      </c>
      <c r="F5" s="33" t="str">
        <f t="shared" si="2"/>
        <v>08</v>
      </c>
      <c r="G5">
        <f t="shared" si="3"/>
        <v>6</v>
      </c>
      <c r="H5" s="29">
        <v>37558.800000000003</v>
      </c>
      <c r="I5" s="34">
        <f t="shared" si="4"/>
        <v>6259.8</v>
      </c>
      <c r="J5" s="32" t="s">
        <v>180</v>
      </c>
      <c r="K5" s="32" t="s">
        <v>56</v>
      </c>
      <c r="L5" s="32">
        <v>50000</v>
      </c>
      <c r="M5" s="32" t="str">
        <f t="shared" si="5"/>
        <v>yes</v>
      </c>
      <c r="N5" s="32" t="str">
        <f>_xlfn.CONCAT(LEFT(A5,7),UPPER(LEFT(J5,3)),RIGHT(A5,3))</f>
        <v>FD08MTGBLA004</v>
      </c>
      <c r="P5" s="21"/>
      <c r="Q5" s="30" t="str">
        <f>VLOOKUP(Q3,A2:N53,3,FALSE)</f>
        <v>Ford</v>
      </c>
      <c r="R5" s="30" t="str">
        <f>VLOOKUP(Q3,A2:N53,6,FALSE)</f>
        <v>06</v>
      </c>
      <c r="S5" s="30">
        <f>VLOOKUP(Q3,A2:N53,9,FALSE)</f>
        <v>5040.8500000000004</v>
      </c>
      <c r="T5" s="30" t="str">
        <f>VLOOKUP(Q3,A2:N53,10,FALSE)</f>
        <v>Black</v>
      </c>
      <c r="U5" s="30" t="str">
        <f>VLOOKUP(Q3,A2:N53,13,FALSE)</f>
        <v>yes</v>
      </c>
      <c r="V5" s="30" t="str">
        <f>VLOOKUP(Q3,A2:N53,11,FALSE)</f>
        <v>Smith</v>
      </c>
    </row>
    <row r="6" spans="1:22" x14ac:dyDescent="0.2">
      <c r="A6" s="32" t="s">
        <v>188</v>
      </c>
      <c r="B6" s="32" t="str">
        <f t="shared" si="0"/>
        <v>FD</v>
      </c>
      <c r="C6" s="32" t="str">
        <f>VLOOKUP(B6,B$56:C$61,2)</f>
        <v>Ford</v>
      </c>
      <c r="D6" s="32" t="str">
        <f t="shared" si="1"/>
        <v>MTG</v>
      </c>
      <c r="E6" s="32" t="str">
        <f>VLOOKUP(D6,B$63:C$73,2)</f>
        <v>Mustang</v>
      </c>
      <c r="F6" s="33" t="str">
        <f t="shared" si="2"/>
        <v>08</v>
      </c>
      <c r="G6">
        <f t="shared" si="3"/>
        <v>6</v>
      </c>
      <c r="H6" s="29">
        <v>36438.5</v>
      </c>
      <c r="I6" s="34">
        <f t="shared" si="4"/>
        <v>6073.083333333333</v>
      </c>
      <c r="J6" s="32" t="s">
        <v>182</v>
      </c>
      <c r="K6" s="32" t="s">
        <v>11</v>
      </c>
      <c r="L6" s="32">
        <v>50000</v>
      </c>
      <c r="M6" s="32" t="str">
        <f t="shared" si="5"/>
        <v>yes</v>
      </c>
      <c r="N6" s="32" t="str">
        <f>_xlfn.CONCAT(LEFT(A6,7),UPPER(LEFT(J6,3)),RIGHT(A6,3))</f>
        <v>FD08MTGWHI005</v>
      </c>
      <c r="P6" s="21"/>
    </row>
    <row r="7" spans="1:22" x14ac:dyDescent="0.2">
      <c r="A7" s="32" t="s">
        <v>189</v>
      </c>
      <c r="B7" s="32" t="str">
        <f t="shared" si="0"/>
        <v>FD</v>
      </c>
      <c r="C7" s="32" t="str">
        <f>VLOOKUP(B7,B$56:C$61,2)</f>
        <v>Ford</v>
      </c>
      <c r="D7" s="32" t="str">
        <f t="shared" si="1"/>
        <v>FCS</v>
      </c>
      <c r="E7" s="32" t="str">
        <f>VLOOKUP(D7,B$63:C$73,2)</f>
        <v>Focus</v>
      </c>
      <c r="F7" s="33" t="str">
        <f t="shared" si="2"/>
        <v>06</v>
      </c>
      <c r="G7">
        <f t="shared" si="3"/>
        <v>8</v>
      </c>
      <c r="H7" s="29">
        <v>46311.4</v>
      </c>
      <c r="I7" s="34">
        <f t="shared" si="4"/>
        <v>5788.9250000000002</v>
      </c>
      <c r="J7" s="32" t="s">
        <v>185</v>
      </c>
      <c r="K7" s="32" t="s">
        <v>190</v>
      </c>
      <c r="L7" s="32">
        <v>75000</v>
      </c>
      <c r="M7" s="32" t="str">
        <f t="shared" si="5"/>
        <v>yes</v>
      </c>
      <c r="N7" s="32" t="str">
        <f>_xlfn.CONCAT(LEFT(A7,7),UPPER(LEFT(J7,3)),RIGHT(A7,3))</f>
        <v>FD06FCSGRE006</v>
      </c>
    </row>
    <row r="8" spans="1:22" x14ac:dyDescent="0.2">
      <c r="A8" s="32" t="s">
        <v>191</v>
      </c>
      <c r="B8" s="32" t="str">
        <f t="shared" si="0"/>
        <v>FD</v>
      </c>
      <c r="C8" s="32" t="str">
        <f>VLOOKUP(B8,B$56:C$61,2)</f>
        <v>Ford</v>
      </c>
      <c r="D8" s="32" t="str">
        <f t="shared" si="1"/>
        <v>FCS</v>
      </c>
      <c r="E8" s="32" t="str">
        <f>VLOOKUP(D8,B$63:C$73,2)</f>
        <v>Focus</v>
      </c>
      <c r="F8" s="33" t="str">
        <f t="shared" si="2"/>
        <v>06</v>
      </c>
      <c r="G8">
        <f t="shared" si="3"/>
        <v>8</v>
      </c>
      <c r="H8" s="29">
        <v>52229.5</v>
      </c>
      <c r="I8" s="34">
        <f t="shared" si="4"/>
        <v>6528.6875</v>
      </c>
      <c r="J8" s="32" t="s">
        <v>185</v>
      </c>
      <c r="K8" s="32" t="s">
        <v>186</v>
      </c>
      <c r="L8" s="32">
        <v>75000</v>
      </c>
      <c r="M8" s="32" t="str">
        <f t="shared" si="5"/>
        <v>yes</v>
      </c>
      <c r="N8" s="32" t="str">
        <f>_xlfn.CONCAT(LEFT(A8,7),UPPER(LEFT(J8,3)),RIGHT(A8,3))</f>
        <v>FD06FCSGRE007</v>
      </c>
    </row>
    <row r="9" spans="1:22" x14ac:dyDescent="0.2">
      <c r="A9" s="32" t="s">
        <v>192</v>
      </c>
      <c r="B9" s="32" t="str">
        <f t="shared" si="0"/>
        <v>FD</v>
      </c>
      <c r="C9" s="32" t="str">
        <f>VLOOKUP(B9,B$56:C$61,2)</f>
        <v>Ford</v>
      </c>
      <c r="D9" s="32" t="str">
        <f t="shared" si="1"/>
        <v>FCS</v>
      </c>
      <c r="E9" s="32" t="str">
        <f>VLOOKUP(D9,B$63:C$73,2)</f>
        <v>Focus</v>
      </c>
      <c r="F9" s="33" t="str">
        <f t="shared" si="2"/>
        <v>09</v>
      </c>
      <c r="G9">
        <f t="shared" si="3"/>
        <v>5</v>
      </c>
      <c r="H9" s="29">
        <v>35137</v>
      </c>
      <c r="I9" s="34">
        <f t="shared" si="4"/>
        <v>7027.4</v>
      </c>
      <c r="J9" s="32" t="s">
        <v>180</v>
      </c>
      <c r="K9" s="32" t="s">
        <v>5</v>
      </c>
      <c r="L9" s="32">
        <v>75000</v>
      </c>
      <c r="M9" s="32" t="str">
        <f t="shared" si="5"/>
        <v>yes</v>
      </c>
      <c r="N9" s="32" t="str">
        <f>_xlfn.CONCAT(LEFT(A9,7),UPPER(LEFT(J9,3)),RIGHT(A9,3))</f>
        <v>FD09FCSBLA008</v>
      </c>
    </row>
    <row r="10" spans="1:22" x14ac:dyDescent="0.2">
      <c r="A10" s="32" t="s">
        <v>193</v>
      </c>
      <c r="B10" s="32" t="str">
        <f t="shared" si="0"/>
        <v>FD</v>
      </c>
      <c r="C10" s="32" t="str">
        <f>VLOOKUP(B10,B$56:C$61,2)</f>
        <v>Ford</v>
      </c>
      <c r="D10" s="32" t="str">
        <f t="shared" si="1"/>
        <v>FCS</v>
      </c>
      <c r="E10" s="32" t="str">
        <f>VLOOKUP(D10,B$63:C$73,2)</f>
        <v>Focus</v>
      </c>
      <c r="F10" s="33" t="str">
        <f t="shared" si="2"/>
        <v>13</v>
      </c>
      <c r="G10">
        <f t="shared" si="3"/>
        <v>1</v>
      </c>
      <c r="H10" s="29">
        <v>27637.1</v>
      </c>
      <c r="I10" s="34">
        <f t="shared" si="4"/>
        <v>27637.1</v>
      </c>
      <c r="J10" s="32" t="s">
        <v>180</v>
      </c>
      <c r="K10" s="32" t="s">
        <v>11</v>
      </c>
      <c r="L10" s="32">
        <v>75000</v>
      </c>
      <c r="M10" s="32" t="str">
        <f t="shared" si="5"/>
        <v>yes</v>
      </c>
      <c r="N10" s="32" t="str">
        <f>_xlfn.CONCAT(LEFT(A10,7),UPPER(LEFT(J10,3)),RIGHT(A10,3))</f>
        <v>FD13FCSBLA009</v>
      </c>
      <c r="P10" s="26" t="s">
        <v>161</v>
      </c>
      <c r="Q10" t="s">
        <v>309</v>
      </c>
    </row>
    <row r="11" spans="1:22" x14ac:dyDescent="0.2">
      <c r="A11" s="32" t="s">
        <v>194</v>
      </c>
      <c r="B11" s="32" t="str">
        <f t="shared" si="0"/>
        <v>FD</v>
      </c>
      <c r="C11" s="32" t="str">
        <f>VLOOKUP(B11,B$56:C$61,2)</f>
        <v>Ford</v>
      </c>
      <c r="D11" s="32" t="str">
        <f t="shared" si="1"/>
        <v>FCS</v>
      </c>
      <c r="E11" s="32" t="str">
        <f>VLOOKUP(D11,B$63:C$73,2)</f>
        <v>Focus</v>
      </c>
      <c r="F11" s="33" t="str">
        <f t="shared" si="2"/>
        <v>13</v>
      </c>
      <c r="G11">
        <f t="shared" si="3"/>
        <v>1</v>
      </c>
      <c r="H11" s="29">
        <v>27534.799999999999</v>
      </c>
      <c r="I11" s="34">
        <f t="shared" si="4"/>
        <v>27534.799999999999</v>
      </c>
      <c r="J11" s="32" t="s">
        <v>182</v>
      </c>
      <c r="K11" s="32" t="s">
        <v>195</v>
      </c>
      <c r="L11" s="32">
        <v>75000</v>
      </c>
      <c r="M11" s="32" t="str">
        <f t="shared" si="5"/>
        <v>yes</v>
      </c>
      <c r="N11" s="32" t="str">
        <f>_xlfn.CONCAT(LEFT(A11,7),UPPER(LEFT(J11,3)),RIGHT(A11,3))</f>
        <v>FD13FCSWHI010</v>
      </c>
      <c r="P11" s="27" t="s">
        <v>11</v>
      </c>
      <c r="Q11" s="3">
        <v>305432.40000000002</v>
      </c>
    </row>
    <row r="12" spans="1:22" x14ac:dyDescent="0.2">
      <c r="A12" s="32" t="s">
        <v>196</v>
      </c>
      <c r="B12" s="32" t="str">
        <f t="shared" si="0"/>
        <v>FD</v>
      </c>
      <c r="C12" s="32" t="str">
        <f>VLOOKUP(B12,B$56:C$61,2)</f>
        <v>Ford</v>
      </c>
      <c r="D12" s="32" t="str">
        <f t="shared" si="1"/>
        <v>FCS</v>
      </c>
      <c r="E12" s="32" t="str">
        <f>VLOOKUP(D12,B$63:C$73,2)</f>
        <v>Focus</v>
      </c>
      <c r="F12" s="33" t="str">
        <f t="shared" si="2"/>
        <v>12</v>
      </c>
      <c r="G12">
        <f t="shared" si="3"/>
        <v>2</v>
      </c>
      <c r="H12" s="29">
        <v>19341.7</v>
      </c>
      <c r="I12" s="34">
        <f t="shared" si="4"/>
        <v>9670.85</v>
      </c>
      <c r="J12" s="32" t="s">
        <v>182</v>
      </c>
      <c r="K12" s="32" t="s">
        <v>197</v>
      </c>
      <c r="L12" s="32">
        <v>75000</v>
      </c>
      <c r="M12" s="32" t="str">
        <f t="shared" si="5"/>
        <v>yes</v>
      </c>
      <c r="N12" s="32" t="str">
        <f>_xlfn.CONCAT(LEFT(A12,7),UPPER(LEFT(J12,3)),RIGHT(A12,3))</f>
        <v>FD12FCSWHI011</v>
      </c>
      <c r="P12" s="27" t="s">
        <v>56</v>
      </c>
      <c r="Q12" s="3">
        <v>184693.8</v>
      </c>
    </row>
    <row r="13" spans="1:22" x14ac:dyDescent="0.2">
      <c r="A13" s="32" t="s">
        <v>198</v>
      </c>
      <c r="B13" s="32" t="str">
        <f t="shared" si="0"/>
        <v>FD</v>
      </c>
      <c r="C13" s="32" t="str">
        <f>VLOOKUP(B13,B$56:C$61,2)</f>
        <v>Ford</v>
      </c>
      <c r="D13" s="32" t="str">
        <f t="shared" si="1"/>
        <v>FCS</v>
      </c>
      <c r="E13" s="32" t="str">
        <f>VLOOKUP(D13,B$63:C$73,2)</f>
        <v>Focus</v>
      </c>
      <c r="F13" s="33" t="str">
        <f t="shared" si="2"/>
        <v>13</v>
      </c>
      <c r="G13">
        <f t="shared" si="3"/>
        <v>1</v>
      </c>
      <c r="H13" s="29">
        <v>22521.599999999999</v>
      </c>
      <c r="I13" s="34">
        <f t="shared" si="4"/>
        <v>22521.599999999999</v>
      </c>
      <c r="J13" s="32" t="s">
        <v>180</v>
      </c>
      <c r="K13" s="32" t="s">
        <v>199</v>
      </c>
      <c r="L13" s="32">
        <v>75000</v>
      </c>
      <c r="M13" s="32" t="str">
        <f t="shared" si="5"/>
        <v>yes</v>
      </c>
      <c r="N13" s="32" t="str">
        <f>_xlfn.CONCAT(LEFT(A13,7),UPPER(LEFT(J13,3)),RIGHT(A13,3))</f>
        <v>FD13FCSBLA012</v>
      </c>
      <c r="P13" s="27" t="s">
        <v>221</v>
      </c>
      <c r="Q13" s="3">
        <v>179986</v>
      </c>
    </row>
    <row r="14" spans="1:22" x14ac:dyDescent="0.2">
      <c r="A14" s="32" t="s">
        <v>200</v>
      </c>
      <c r="B14" s="32" t="str">
        <f t="shared" si="0"/>
        <v>FD</v>
      </c>
      <c r="C14" s="32" t="str">
        <f>VLOOKUP(B14,B$56:C$61,2)</f>
        <v>Ford</v>
      </c>
      <c r="D14" s="32" t="str">
        <f t="shared" si="1"/>
        <v>FCS</v>
      </c>
      <c r="E14" s="32" t="str">
        <f>VLOOKUP(D14,B$63:C$73,2)</f>
        <v>Focus</v>
      </c>
      <c r="F14" s="33" t="str">
        <f t="shared" si="2"/>
        <v>13</v>
      </c>
      <c r="G14">
        <f t="shared" si="3"/>
        <v>1</v>
      </c>
      <c r="H14" s="29">
        <v>13682.9</v>
      </c>
      <c r="I14" s="34">
        <f t="shared" si="4"/>
        <v>13682.9</v>
      </c>
      <c r="J14" s="32" t="s">
        <v>180</v>
      </c>
      <c r="K14" s="32" t="s">
        <v>63</v>
      </c>
      <c r="L14" s="32">
        <v>75000</v>
      </c>
      <c r="M14" s="32" t="str">
        <f t="shared" si="5"/>
        <v>yes</v>
      </c>
      <c r="N14" s="32" t="str">
        <f>_xlfn.CONCAT(LEFT(A14,7),UPPER(LEFT(J14,3)),RIGHT(A14,3))</f>
        <v>FD13FCSBLA013</v>
      </c>
      <c r="P14" s="27" t="s">
        <v>215</v>
      </c>
      <c r="Q14" s="3">
        <v>177713.9</v>
      </c>
    </row>
    <row r="15" spans="1:22" x14ac:dyDescent="0.2">
      <c r="A15" s="32" t="s">
        <v>201</v>
      </c>
      <c r="B15" s="32" t="str">
        <f t="shared" si="0"/>
        <v>GM</v>
      </c>
      <c r="C15" s="32" t="str">
        <f>VLOOKUP(B15,B$56:C$61,2)</f>
        <v>General Motors</v>
      </c>
      <c r="D15" s="32" t="str">
        <f t="shared" si="1"/>
        <v>CMR</v>
      </c>
      <c r="E15" s="32" t="str">
        <f>VLOOKUP(D15,B$63:C$73,2)</f>
        <v>Camero</v>
      </c>
      <c r="F15" s="33" t="str">
        <f t="shared" si="2"/>
        <v>09</v>
      </c>
      <c r="G15">
        <f t="shared" si="3"/>
        <v>5</v>
      </c>
      <c r="H15" s="29">
        <v>28464.799999999999</v>
      </c>
      <c r="I15" s="34">
        <f t="shared" si="4"/>
        <v>5692.96</v>
      </c>
      <c r="J15" s="32" t="s">
        <v>182</v>
      </c>
      <c r="K15" s="32" t="s">
        <v>202</v>
      </c>
      <c r="L15" s="32">
        <v>100000</v>
      </c>
      <c r="M15" s="32" t="str">
        <f t="shared" si="5"/>
        <v>yes</v>
      </c>
      <c r="N15" s="32" t="str">
        <f>_xlfn.CONCAT(LEFT(A15,7),UPPER(LEFT(J15,3)),RIGHT(A15,3))</f>
        <v>GM09CMRWHI014</v>
      </c>
      <c r="P15" s="27" t="s">
        <v>190</v>
      </c>
      <c r="Q15" s="3">
        <v>154427.9</v>
      </c>
    </row>
    <row r="16" spans="1:22" x14ac:dyDescent="0.2">
      <c r="A16" s="32" t="s">
        <v>203</v>
      </c>
      <c r="B16" s="32" t="str">
        <f t="shared" si="0"/>
        <v>GM</v>
      </c>
      <c r="C16" s="32" t="str">
        <f>VLOOKUP(B16,B$56:C$61,2)</f>
        <v>General Motors</v>
      </c>
      <c r="D16" s="32" t="str">
        <f t="shared" si="1"/>
        <v>CMR</v>
      </c>
      <c r="E16" s="32" t="str">
        <f>VLOOKUP(D16,B$63:C$73,2)</f>
        <v>Camero</v>
      </c>
      <c r="F16" s="33" t="str">
        <f t="shared" si="2"/>
        <v>12</v>
      </c>
      <c r="G16">
        <f t="shared" si="3"/>
        <v>2</v>
      </c>
      <c r="H16" s="29">
        <v>19421.099999999999</v>
      </c>
      <c r="I16" s="34">
        <f t="shared" si="4"/>
        <v>9710.5499999999993</v>
      </c>
      <c r="J16" s="32" t="s">
        <v>180</v>
      </c>
      <c r="K16" s="32" t="s">
        <v>204</v>
      </c>
      <c r="L16" s="32">
        <v>100000</v>
      </c>
      <c r="M16" s="32" t="str">
        <f t="shared" si="5"/>
        <v>yes</v>
      </c>
      <c r="N16" s="32" t="str">
        <f>_xlfn.CONCAT(LEFT(A16,7),UPPER(LEFT(J16,3)),RIGHT(A16,3))</f>
        <v>GM12CMRBLA015</v>
      </c>
      <c r="P16" s="27" t="s">
        <v>213</v>
      </c>
      <c r="Q16" s="3">
        <v>150656.40000000002</v>
      </c>
    </row>
    <row r="17" spans="1:17" x14ac:dyDescent="0.2">
      <c r="A17" s="32" t="s">
        <v>205</v>
      </c>
      <c r="B17" s="32" t="str">
        <f t="shared" si="0"/>
        <v>GM</v>
      </c>
      <c r="C17" s="32" t="str">
        <f>VLOOKUP(B17,B$56:C$61,2)</f>
        <v>General Motors</v>
      </c>
      <c r="D17" s="32" t="str">
        <f t="shared" si="1"/>
        <v>CMR</v>
      </c>
      <c r="E17" s="32" t="str">
        <f>VLOOKUP(D17,B$63:C$73,2)</f>
        <v>Camero</v>
      </c>
      <c r="F17" s="33" t="str">
        <f t="shared" si="2"/>
        <v>14</v>
      </c>
      <c r="G17">
        <f t="shared" si="3"/>
        <v>0</v>
      </c>
      <c r="H17" s="29">
        <v>14289.6</v>
      </c>
      <c r="I17" s="34">
        <f t="shared" si="4"/>
        <v>14289.6</v>
      </c>
      <c r="J17" s="32" t="s">
        <v>182</v>
      </c>
      <c r="K17" s="32" t="s">
        <v>206</v>
      </c>
      <c r="L17" s="32">
        <v>100000</v>
      </c>
      <c r="M17" s="32" t="str">
        <f t="shared" si="5"/>
        <v>yes</v>
      </c>
      <c r="N17" s="32" t="str">
        <f>_xlfn.CONCAT(LEFT(A17,7),UPPER(LEFT(J17,3)),RIGHT(A17,3))</f>
        <v>GM14CMRWHI016</v>
      </c>
      <c r="P17" s="27" t="s">
        <v>204</v>
      </c>
      <c r="Q17" s="3">
        <v>144647.69999999998</v>
      </c>
    </row>
    <row r="18" spans="1:17" x14ac:dyDescent="0.2">
      <c r="A18" s="32" t="s">
        <v>207</v>
      </c>
      <c r="B18" s="32" t="str">
        <f t="shared" si="0"/>
        <v>GM</v>
      </c>
      <c r="C18" s="32" t="str">
        <f>VLOOKUP(B18,B$56:C$61,2)</f>
        <v>General Motors</v>
      </c>
      <c r="D18" s="32" t="str">
        <f t="shared" si="1"/>
        <v>SLV</v>
      </c>
      <c r="E18" s="32" t="str">
        <f>VLOOKUP(D18,B$63:C$73,2)</f>
        <v>Silverado</v>
      </c>
      <c r="F18" s="33" t="str">
        <f t="shared" si="2"/>
        <v>10</v>
      </c>
      <c r="G18">
        <f t="shared" si="3"/>
        <v>4</v>
      </c>
      <c r="H18" s="29">
        <v>31144.400000000001</v>
      </c>
      <c r="I18" s="34">
        <f t="shared" si="4"/>
        <v>7786.1</v>
      </c>
      <c r="J18" s="32" t="s">
        <v>180</v>
      </c>
      <c r="K18" s="32" t="s">
        <v>208</v>
      </c>
      <c r="L18" s="32">
        <v>100000</v>
      </c>
      <c r="M18" s="32" t="str">
        <f t="shared" si="5"/>
        <v>yes</v>
      </c>
      <c r="N18" s="32" t="str">
        <f>_xlfn.CONCAT(LEFT(A18,7),UPPER(LEFT(J18,3)),RIGHT(A18,3))</f>
        <v>GM10SLVBLA017</v>
      </c>
      <c r="P18" s="27" t="s">
        <v>5</v>
      </c>
      <c r="Q18" s="3">
        <v>143640.70000000001</v>
      </c>
    </row>
    <row r="19" spans="1:17" x14ac:dyDescent="0.2">
      <c r="A19" s="32" t="s">
        <v>209</v>
      </c>
      <c r="B19" s="32" t="str">
        <f t="shared" si="0"/>
        <v>GM</v>
      </c>
      <c r="C19" s="32" t="str">
        <f>VLOOKUP(B19,B$56:C$61,2)</f>
        <v>General Motors</v>
      </c>
      <c r="D19" s="32" t="str">
        <f t="shared" si="1"/>
        <v>SLV</v>
      </c>
      <c r="E19" s="32" t="str">
        <f>VLOOKUP(D19,B$63:C$73,2)</f>
        <v>Silverado</v>
      </c>
      <c r="F19" s="33" t="str">
        <f t="shared" si="2"/>
        <v>98</v>
      </c>
      <c r="G19">
        <f t="shared" si="3"/>
        <v>16</v>
      </c>
      <c r="H19" s="29">
        <v>83162.7</v>
      </c>
      <c r="I19" s="34">
        <f t="shared" si="4"/>
        <v>5197.6687499999998</v>
      </c>
      <c r="J19" s="32" t="s">
        <v>180</v>
      </c>
      <c r="K19" s="32" t="s">
        <v>202</v>
      </c>
      <c r="L19" s="32">
        <v>100000</v>
      </c>
      <c r="M19" s="32" t="str">
        <f t="shared" si="5"/>
        <v>yes</v>
      </c>
      <c r="N19" s="32" t="str">
        <f>_xlfn.CONCAT(LEFT(A19,7),UPPER(LEFT(J19,3)),RIGHT(A19,3))</f>
        <v>GM98SLVBLA018</v>
      </c>
      <c r="P19" s="27" t="s">
        <v>202</v>
      </c>
      <c r="Q19" s="3">
        <v>141229.4</v>
      </c>
    </row>
    <row r="20" spans="1:17" x14ac:dyDescent="0.2">
      <c r="A20" s="32" t="s">
        <v>210</v>
      </c>
      <c r="B20" s="32" t="str">
        <f t="shared" si="0"/>
        <v>GM</v>
      </c>
      <c r="C20" s="32" t="str">
        <f>VLOOKUP(B20,B$56:C$61,2)</f>
        <v>General Motors</v>
      </c>
      <c r="D20" s="32" t="str">
        <f t="shared" si="1"/>
        <v>SLV</v>
      </c>
      <c r="E20" s="32" t="str">
        <f>VLOOKUP(D20,B$63:C$73,2)</f>
        <v>Silverado</v>
      </c>
      <c r="F20" s="33" t="str">
        <f t="shared" si="2"/>
        <v>00</v>
      </c>
      <c r="G20">
        <f t="shared" si="3"/>
        <v>14</v>
      </c>
      <c r="H20" s="29">
        <v>80685.8</v>
      </c>
      <c r="I20" s="34">
        <f t="shared" si="4"/>
        <v>5763.2714285714292</v>
      </c>
      <c r="J20" s="32" t="s">
        <v>211</v>
      </c>
      <c r="K20" s="32" t="s">
        <v>199</v>
      </c>
      <c r="L20" s="32">
        <v>100000</v>
      </c>
      <c r="M20" s="32" t="str">
        <f t="shared" si="5"/>
        <v>yes</v>
      </c>
      <c r="N20" s="32" t="str">
        <f>_xlfn.CONCAT(LEFT(A20,7),UPPER(LEFT(J20,3)),RIGHT(A20,3))</f>
        <v>GM00SLVBLU019</v>
      </c>
      <c r="P20" s="27" t="s">
        <v>63</v>
      </c>
      <c r="Q20" s="3">
        <v>138561.5</v>
      </c>
    </row>
    <row r="21" spans="1:17" x14ac:dyDescent="0.2">
      <c r="A21" s="32" t="s">
        <v>212</v>
      </c>
      <c r="B21" s="32" t="str">
        <f t="shared" si="0"/>
        <v>TY</v>
      </c>
      <c r="C21" s="32" t="str">
        <f>VLOOKUP(B21,B$56:C$61,2)</f>
        <v>Toyota</v>
      </c>
      <c r="D21" s="32" t="str">
        <f t="shared" si="1"/>
        <v>CAM</v>
      </c>
      <c r="E21" s="32" t="str">
        <f>VLOOKUP(D21,B$63:C$73,2)</f>
        <v>Camrey</v>
      </c>
      <c r="F21" s="33" t="str">
        <f t="shared" si="2"/>
        <v>96</v>
      </c>
      <c r="G21">
        <f t="shared" si="3"/>
        <v>18</v>
      </c>
      <c r="H21" s="29">
        <v>114660.6</v>
      </c>
      <c r="I21" s="34">
        <f t="shared" si="4"/>
        <v>6370.0333333333338</v>
      </c>
      <c r="J21" s="32" t="s">
        <v>185</v>
      </c>
      <c r="K21" s="32" t="s">
        <v>213</v>
      </c>
      <c r="L21" s="32">
        <v>100000</v>
      </c>
      <c r="M21" t="str">
        <f t="shared" si="5"/>
        <v>no</v>
      </c>
      <c r="N21" s="32" t="str">
        <f>_xlfn.CONCAT(LEFT(A21,7),UPPER(LEFT(J21,3)),RIGHT(A21,3))</f>
        <v>TY96CAMGRE020</v>
      </c>
      <c r="P21" s="27" t="s">
        <v>208</v>
      </c>
      <c r="Q21" s="3">
        <v>135078.20000000001</v>
      </c>
    </row>
    <row r="22" spans="1:17" x14ac:dyDescent="0.2">
      <c r="A22" s="32" t="s">
        <v>214</v>
      </c>
      <c r="B22" s="32" t="str">
        <f t="shared" si="0"/>
        <v>TY</v>
      </c>
      <c r="C22" s="32" t="str">
        <f>VLOOKUP(B22,B$56:C$61,2)</f>
        <v>Toyota</v>
      </c>
      <c r="D22" s="32" t="str">
        <f t="shared" si="1"/>
        <v>CAM</v>
      </c>
      <c r="E22" s="32" t="str">
        <f>VLOOKUP(D22,B$63:C$73,2)</f>
        <v>Camrey</v>
      </c>
      <c r="F22" s="33" t="str">
        <f t="shared" si="2"/>
        <v>98</v>
      </c>
      <c r="G22">
        <f t="shared" si="3"/>
        <v>16</v>
      </c>
      <c r="H22" s="29">
        <v>93382.6</v>
      </c>
      <c r="I22" s="34">
        <f t="shared" si="4"/>
        <v>5836.4125000000004</v>
      </c>
      <c r="J22" s="32" t="s">
        <v>180</v>
      </c>
      <c r="K22" s="32" t="s">
        <v>215</v>
      </c>
      <c r="L22" s="32">
        <v>100000</v>
      </c>
      <c r="M22" s="32" t="str">
        <f t="shared" si="5"/>
        <v>yes</v>
      </c>
      <c r="N22" s="32" t="str">
        <f>_xlfn.CONCAT(LEFT(A22,7),UPPER(LEFT(J22,3)),RIGHT(A22,3))</f>
        <v>TY98CAMBLA021</v>
      </c>
      <c r="P22" s="27" t="s">
        <v>199</v>
      </c>
      <c r="Q22" s="3">
        <v>130601.59999999999</v>
      </c>
    </row>
    <row r="23" spans="1:17" x14ac:dyDescent="0.2">
      <c r="A23" s="32" t="s">
        <v>216</v>
      </c>
      <c r="B23" s="32" t="str">
        <f t="shared" si="0"/>
        <v>TY</v>
      </c>
      <c r="C23" s="32" t="str">
        <f>VLOOKUP(B23,B$56:C$61,2)</f>
        <v>Toyota</v>
      </c>
      <c r="D23" s="32" t="str">
        <f t="shared" si="1"/>
        <v>CAM</v>
      </c>
      <c r="E23" s="32" t="str">
        <f>VLOOKUP(D23,B$63:C$73,2)</f>
        <v>Camrey</v>
      </c>
      <c r="F23" s="33" t="str">
        <f t="shared" si="2"/>
        <v>00</v>
      </c>
      <c r="G23">
        <f t="shared" si="3"/>
        <v>14</v>
      </c>
      <c r="H23" s="29">
        <v>85928</v>
      </c>
      <c r="I23" s="34">
        <f t="shared" si="4"/>
        <v>6137.7142857142853</v>
      </c>
      <c r="J23" s="32" t="s">
        <v>185</v>
      </c>
      <c r="K23" s="32" t="s">
        <v>190</v>
      </c>
      <c r="L23" s="32">
        <v>100000</v>
      </c>
      <c r="M23" s="32" t="str">
        <f t="shared" si="5"/>
        <v>yes</v>
      </c>
      <c r="N23" s="32" t="str">
        <f>_xlfn.CONCAT(LEFT(A23,7),UPPER(LEFT(J23,3)),RIGHT(A23,3))</f>
        <v>TY00CAMGRE022</v>
      </c>
      <c r="P23" s="27" t="s">
        <v>186</v>
      </c>
      <c r="Q23" s="3">
        <v>127731.3</v>
      </c>
    </row>
    <row r="24" spans="1:17" x14ac:dyDescent="0.2">
      <c r="A24" s="32" t="s">
        <v>217</v>
      </c>
      <c r="B24" s="32" t="str">
        <f t="shared" si="0"/>
        <v>TY</v>
      </c>
      <c r="C24" s="32" t="str">
        <f>VLOOKUP(B24,B$56:C$61,2)</f>
        <v>Toyota</v>
      </c>
      <c r="D24" s="32" t="str">
        <f t="shared" si="1"/>
        <v>CAM</v>
      </c>
      <c r="E24" s="32" t="str">
        <f>VLOOKUP(D24,B$63:C$73,2)</f>
        <v>Camrey</v>
      </c>
      <c r="F24" s="33" t="str">
        <f t="shared" si="2"/>
        <v>02</v>
      </c>
      <c r="G24">
        <f t="shared" si="3"/>
        <v>12</v>
      </c>
      <c r="H24" s="29">
        <v>67829.100000000006</v>
      </c>
      <c r="I24" s="34">
        <f t="shared" si="4"/>
        <v>5652.4250000000002</v>
      </c>
      <c r="J24" s="32" t="s">
        <v>180</v>
      </c>
      <c r="K24" s="32" t="s">
        <v>11</v>
      </c>
      <c r="L24" s="32">
        <v>100000</v>
      </c>
      <c r="M24" s="32" t="str">
        <f t="shared" si="5"/>
        <v>yes</v>
      </c>
      <c r="N24" s="32" t="str">
        <f>_xlfn.CONCAT(LEFT(A24,7),UPPER(LEFT(J24,3)),RIGHT(A24,3))</f>
        <v>TY02CAMBLA023</v>
      </c>
      <c r="P24" s="27" t="s">
        <v>183</v>
      </c>
      <c r="Q24" s="3">
        <v>70964.899999999994</v>
      </c>
    </row>
    <row r="25" spans="1:17" x14ac:dyDescent="0.2">
      <c r="A25" s="32" t="s">
        <v>218</v>
      </c>
      <c r="B25" s="32" t="str">
        <f t="shared" si="0"/>
        <v>TY</v>
      </c>
      <c r="C25" s="32" t="str">
        <f>VLOOKUP(B25,B$56:C$61,2)</f>
        <v>Toyota</v>
      </c>
      <c r="D25" s="32" t="str">
        <f t="shared" si="1"/>
        <v>CAM</v>
      </c>
      <c r="E25" s="32" t="str">
        <f>VLOOKUP(D25,B$63:C$73,2)</f>
        <v>Camrey</v>
      </c>
      <c r="F25" s="33" t="str">
        <f t="shared" si="2"/>
        <v>09</v>
      </c>
      <c r="G25">
        <f t="shared" si="3"/>
        <v>5</v>
      </c>
      <c r="H25" s="29">
        <v>48114.2</v>
      </c>
      <c r="I25" s="34">
        <f t="shared" si="4"/>
        <v>9622.84</v>
      </c>
      <c r="J25" s="32" t="s">
        <v>182</v>
      </c>
      <c r="K25" s="32" t="s">
        <v>5</v>
      </c>
      <c r="L25" s="32">
        <v>100000</v>
      </c>
      <c r="M25" s="32" t="str">
        <f t="shared" si="5"/>
        <v>yes</v>
      </c>
      <c r="N25" s="32" t="str">
        <f>_xlfn.CONCAT(LEFT(A25,7),UPPER(LEFT(J25,3)),RIGHT(A25,3))</f>
        <v>TY09CAMWHI024</v>
      </c>
      <c r="P25" s="27" t="s">
        <v>206</v>
      </c>
      <c r="Q25" s="3">
        <v>65964.899999999994</v>
      </c>
    </row>
    <row r="26" spans="1:17" x14ac:dyDescent="0.2">
      <c r="A26" s="32" t="s">
        <v>219</v>
      </c>
      <c r="B26" s="32" t="str">
        <f t="shared" si="0"/>
        <v>TY</v>
      </c>
      <c r="C26" s="32" t="str">
        <f>VLOOKUP(B26,B$56:C$61,2)</f>
        <v>Toyota</v>
      </c>
      <c r="D26" s="32" t="str">
        <f t="shared" si="1"/>
        <v>COR</v>
      </c>
      <c r="E26" s="32" t="str">
        <f>VLOOKUP(D26,B$63:C$73,2)</f>
        <v>Corola</v>
      </c>
      <c r="F26" s="33" t="str">
        <f t="shared" si="2"/>
        <v>02</v>
      </c>
      <c r="G26">
        <f t="shared" si="3"/>
        <v>12</v>
      </c>
      <c r="H26" s="29">
        <v>64467.4</v>
      </c>
      <c r="I26" s="34">
        <f t="shared" si="4"/>
        <v>5372.2833333333338</v>
      </c>
      <c r="J26" s="32" t="s">
        <v>220</v>
      </c>
      <c r="K26" s="32" t="s">
        <v>221</v>
      </c>
      <c r="L26" s="32">
        <v>100000</v>
      </c>
      <c r="M26" s="32" t="str">
        <f t="shared" si="5"/>
        <v>yes</v>
      </c>
      <c r="N26" s="32" t="str">
        <f>_xlfn.CONCAT(LEFT(A26,7),UPPER(LEFT(J26,3)),RIGHT(A26,3))</f>
        <v>TY02CORRED025</v>
      </c>
      <c r="P26" s="27" t="s">
        <v>195</v>
      </c>
      <c r="Q26" s="3">
        <v>65315</v>
      </c>
    </row>
    <row r="27" spans="1:17" x14ac:dyDescent="0.2">
      <c r="A27" s="32" t="s">
        <v>222</v>
      </c>
      <c r="B27" s="32" t="str">
        <f t="shared" si="0"/>
        <v>TY</v>
      </c>
      <c r="C27" s="32" t="str">
        <f>VLOOKUP(B27,B$56:C$61,2)</f>
        <v>Toyota</v>
      </c>
      <c r="D27" s="32" t="str">
        <f t="shared" si="1"/>
        <v>COR</v>
      </c>
      <c r="E27" s="32" t="str">
        <f>VLOOKUP(D27,B$63:C$73,2)</f>
        <v>Corola</v>
      </c>
      <c r="F27" s="33" t="str">
        <f t="shared" si="2"/>
        <v>03</v>
      </c>
      <c r="G27">
        <f t="shared" si="3"/>
        <v>11</v>
      </c>
      <c r="H27" s="29">
        <v>73444.399999999994</v>
      </c>
      <c r="I27" s="34">
        <f t="shared" si="4"/>
        <v>6676.7636363636357</v>
      </c>
      <c r="J27" s="32" t="s">
        <v>180</v>
      </c>
      <c r="K27" s="32" t="s">
        <v>221</v>
      </c>
      <c r="L27" s="32">
        <v>100000</v>
      </c>
      <c r="M27" s="32" t="str">
        <f t="shared" si="5"/>
        <v>yes</v>
      </c>
      <c r="N27" s="32" t="str">
        <f>_xlfn.CONCAT(LEFT(A27,7),UPPER(LEFT(J27,3)),RIGHT(A27,3))</f>
        <v>TY03CORBLA026</v>
      </c>
      <c r="P27" s="27" t="s">
        <v>197</v>
      </c>
      <c r="Q27" s="3">
        <v>19341.7</v>
      </c>
    </row>
    <row r="28" spans="1:17" x14ac:dyDescent="0.2">
      <c r="A28" s="32" t="s">
        <v>223</v>
      </c>
      <c r="B28" s="32" t="str">
        <f t="shared" si="0"/>
        <v>TY</v>
      </c>
      <c r="C28" s="32" t="str">
        <f>VLOOKUP(B28,B$56:C$61,2)</f>
        <v>Toyota</v>
      </c>
      <c r="D28" s="32" t="str">
        <f t="shared" si="1"/>
        <v>COR</v>
      </c>
      <c r="E28" s="32" t="str">
        <f>VLOOKUP(D28,B$63:C$73,2)</f>
        <v>Corola</v>
      </c>
      <c r="F28" s="33" t="str">
        <f t="shared" si="2"/>
        <v>14</v>
      </c>
      <c r="G28">
        <f t="shared" si="3"/>
        <v>0</v>
      </c>
      <c r="H28" s="29">
        <v>17556.3</v>
      </c>
      <c r="I28" s="34">
        <f t="shared" si="4"/>
        <v>17556.3</v>
      </c>
      <c r="J28" s="32" t="s">
        <v>211</v>
      </c>
      <c r="K28" s="32" t="s">
        <v>195</v>
      </c>
      <c r="L28" s="32">
        <v>100000</v>
      </c>
      <c r="M28" s="32" t="str">
        <f t="shared" si="5"/>
        <v>yes</v>
      </c>
      <c r="N28" s="32" t="str">
        <f>_xlfn.CONCAT(LEFT(A28,7),UPPER(LEFT(J28,3)),RIGHT(A28,3))</f>
        <v>TY14CORBLU027</v>
      </c>
      <c r="P28" s="27" t="s">
        <v>162</v>
      </c>
      <c r="Q28" s="3">
        <v>2335987.2999999998</v>
      </c>
    </row>
    <row r="29" spans="1:17" x14ac:dyDescent="0.2">
      <c r="A29" s="32" t="s">
        <v>224</v>
      </c>
      <c r="B29" s="32" t="str">
        <f t="shared" si="0"/>
        <v>TY</v>
      </c>
      <c r="C29" s="32" t="str">
        <f>VLOOKUP(B29,B$56:C$61,2)</f>
        <v>Toyota</v>
      </c>
      <c r="D29" s="32" t="str">
        <f t="shared" si="1"/>
        <v>COR</v>
      </c>
      <c r="E29" s="32" t="str">
        <f>VLOOKUP(D29,B$63:C$73,2)</f>
        <v>Corola</v>
      </c>
      <c r="F29" s="33" t="str">
        <f t="shared" si="2"/>
        <v>12</v>
      </c>
      <c r="G29">
        <f t="shared" si="3"/>
        <v>2</v>
      </c>
      <c r="H29" s="29">
        <v>29601.9</v>
      </c>
      <c r="I29" s="34">
        <f t="shared" si="4"/>
        <v>14800.95</v>
      </c>
      <c r="J29" s="32" t="s">
        <v>180</v>
      </c>
      <c r="K29" s="32" t="s">
        <v>202</v>
      </c>
      <c r="L29" s="32">
        <v>100000</v>
      </c>
      <c r="M29" s="32" t="str">
        <f t="shared" si="5"/>
        <v>yes</v>
      </c>
      <c r="N29" s="32" t="str">
        <f>_xlfn.CONCAT(LEFT(A29,7),UPPER(LEFT(J29,3)),RIGHT(A29,3))</f>
        <v>TY12CORBLA028</v>
      </c>
    </row>
    <row r="30" spans="1:17" x14ac:dyDescent="0.2">
      <c r="A30" s="32" t="s">
        <v>225</v>
      </c>
      <c r="B30" s="32" t="str">
        <f t="shared" si="0"/>
        <v>TY</v>
      </c>
      <c r="C30" s="32" t="str">
        <f>VLOOKUP(B30,B$56:C$61,2)</f>
        <v>Toyota</v>
      </c>
      <c r="D30" s="32" t="str">
        <f t="shared" si="1"/>
        <v>CAM</v>
      </c>
      <c r="E30" s="32" t="str">
        <f>VLOOKUP(D30,B$63:C$73,2)</f>
        <v>Camrey</v>
      </c>
      <c r="F30" s="33" t="str">
        <f t="shared" si="2"/>
        <v>12</v>
      </c>
      <c r="G30">
        <f t="shared" si="3"/>
        <v>2</v>
      </c>
      <c r="H30" s="29">
        <v>22128.2</v>
      </c>
      <c r="I30" s="34">
        <f t="shared" si="4"/>
        <v>11064.1</v>
      </c>
      <c r="J30" s="32" t="s">
        <v>211</v>
      </c>
      <c r="K30" s="32" t="s">
        <v>213</v>
      </c>
      <c r="L30" s="32">
        <v>100000</v>
      </c>
      <c r="M30" s="32" t="str">
        <f t="shared" si="5"/>
        <v>yes</v>
      </c>
      <c r="N30" s="32" t="str">
        <f>_xlfn.CONCAT(LEFT(A30,7),UPPER(LEFT(J30,3)),RIGHT(A30,3))</f>
        <v>TY12CAMBLU029</v>
      </c>
    </row>
    <row r="31" spans="1:17" x14ac:dyDescent="0.2">
      <c r="A31" s="32" t="s">
        <v>226</v>
      </c>
      <c r="B31" s="32" t="str">
        <f t="shared" si="0"/>
        <v>HO</v>
      </c>
      <c r="C31" s="32" t="str">
        <f>VLOOKUP(B31,B$56:C$61,2)</f>
        <v>Honda</v>
      </c>
      <c r="D31" s="32" t="str">
        <f t="shared" si="1"/>
        <v>CIV</v>
      </c>
      <c r="E31" s="32" t="str">
        <f>VLOOKUP(D31,B$63:C$73,2)</f>
        <v>Civic</v>
      </c>
      <c r="F31" s="33" t="str">
        <f t="shared" si="2"/>
        <v>99</v>
      </c>
      <c r="G31">
        <f t="shared" si="3"/>
        <v>15</v>
      </c>
      <c r="H31" s="29">
        <v>82374</v>
      </c>
      <c r="I31" s="34">
        <f t="shared" si="4"/>
        <v>5491.6</v>
      </c>
      <c r="J31" s="32" t="s">
        <v>182</v>
      </c>
      <c r="K31" s="32" t="s">
        <v>63</v>
      </c>
      <c r="L31" s="32">
        <v>75000</v>
      </c>
      <c r="M31" t="str">
        <f t="shared" si="5"/>
        <v>no</v>
      </c>
      <c r="N31" s="32" t="str">
        <f>_xlfn.CONCAT(LEFT(A31,7),UPPER(LEFT(J31,3)),RIGHT(A31,3))</f>
        <v>HO99CIVWHI030</v>
      </c>
    </row>
    <row r="32" spans="1:17" x14ac:dyDescent="0.2">
      <c r="A32" s="32" t="s">
        <v>227</v>
      </c>
      <c r="B32" s="32" t="str">
        <f t="shared" si="0"/>
        <v>HO</v>
      </c>
      <c r="C32" s="32" t="str">
        <f>VLOOKUP(B32,B$56:C$61,2)</f>
        <v>Honda</v>
      </c>
      <c r="D32" s="32" t="str">
        <f t="shared" si="1"/>
        <v>CIV</v>
      </c>
      <c r="E32" s="32" t="str">
        <f>VLOOKUP(D32,B$63:C$73,2)</f>
        <v>Civic</v>
      </c>
      <c r="F32" s="33" t="str">
        <f t="shared" si="2"/>
        <v>01</v>
      </c>
      <c r="G32">
        <f t="shared" si="3"/>
        <v>13</v>
      </c>
      <c r="H32" s="29">
        <v>69891.899999999994</v>
      </c>
      <c r="I32" s="34">
        <f t="shared" si="4"/>
        <v>5376.2999999999993</v>
      </c>
      <c r="J32" s="32" t="s">
        <v>211</v>
      </c>
      <c r="K32" s="32" t="s">
        <v>56</v>
      </c>
      <c r="L32" s="32">
        <v>75000</v>
      </c>
      <c r="M32" s="32" t="str">
        <f t="shared" si="5"/>
        <v>yes</v>
      </c>
      <c r="N32" s="32" t="str">
        <f>_xlfn.CONCAT(LEFT(A32,7),UPPER(LEFT(J32,3)),RIGHT(A32,3))</f>
        <v>HO01CIVBLU031</v>
      </c>
    </row>
    <row r="33" spans="1:14" x14ac:dyDescent="0.2">
      <c r="A33" s="32" t="s">
        <v>228</v>
      </c>
      <c r="B33" s="32" t="str">
        <f t="shared" si="0"/>
        <v>HO</v>
      </c>
      <c r="C33" s="32" t="str">
        <f>VLOOKUP(B33,B$56:C$61,2)</f>
        <v>Honda</v>
      </c>
      <c r="D33" s="32" t="str">
        <f t="shared" si="1"/>
        <v>CIV</v>
      </c>
      <c r="E33" s="32" t="str">
        <f>VLOOKUP(D33,B$63:C$73,2)</f>
        <v>Civic</v>
      </c>
      <c r="F33" s="33" t="str">
        <f t="shared" si="2"/>
        <v>10</v>
      </c>
      <c r="G33">
        <f t="shared" si="3"/>
        <v>4</v>
      </c>
      <c r="H33" s="29">
        <v>22573</v>
      </c>
      <c r="I33" s="34">
        <f t="shared" si="4"/>
        <v>5643.25</v>
      </c>
      <c r="J33" s="32" t="s">
        <v>211</v>
      </c>
      <c r="K33" s="32" t="s">
        <v>206</v>
      </c>
      <c r="L33" s="32">
        <v>75000</v>
      </c>
      <c r="M33" s="32" t="str">
        <f t="shared" si="5"/>
        <v>yes</v>
      </c>
      <c r="N33" s="32" t="str">
        <f>_xlfn.CONCAT(LEFT(A33,7),UPPER(LEFT(J33,3)),RIGHT(A33,3))</f>
        <v>HO10CIVBLU032</v>
      </c>
    </row>
    <row r="34" spans="1:14" x14ac:dyDescent="0.2">
      <c r="A34" s="32" t="s">
        <v>229</v>
      </c>
      <c r="B34" s="32" t="str">
        <f t="shared" si="0"/>
        <v>HO</v>
      </c>
      <c r="C34" s="32" t="str">
        <f>VLOOKUP(B34,B$56:C$61,2)</f>
        <v>Honda</v>
      </c>
      <c r="D34" s="32" t="str">
        <f t="shared" si="1"/>
        <v>CIV</v>
      </c>
      <c r="E34" s="32" t="str">
        <f>VLOOKUP(D34,B$63:C$73,2)</f>
        <v>Civic</v>
      </c>
      <c r="F34" s="33" t="str">
        <f t="shared" si="2"/>
        <v>10</v>
      </c>
      <c r="G34">
        <f t="shared" si="3"/>
        <v>4</v>
      </c>
      <c r="H34" s="29">
        <v>33477.199999999997</v>
      </c>
      <c r="I34" s="34">
        <f t="shared" si="4"/>
        <v>8369.2999999999993</v>
      </c>
      <c r="J34" s="32" t="s">
        <v>180</v>
      </c>
      <c r="K34" s="32" t="s">
        <v>215</v>
      </c>
      <c r="L34" s="32">
        <v>75000</v>
      </c>
      <c r="M34" s="32" t="str">
        <f t="shared" si="5"/>
        <v>yes</v>
      </c>
      <c r="N34" s="32" t="str">
        <f>_xlfn.CONCAT(LEFT(A34,7),UPPER(LEFT(J34,3)),RIGHT(A34,3))</f>
        <v>HO10CIVBLA033</v>
      </c>
    </row>
    <row r="35" spans="1:14" x14ac:dyDescent="0.2">
      <c r="A35" s="32" t="s">
        <v>230</v>
      </c>
      <c r="B35" s="32" t="str">
        <f t="shared" si="0"/>
        <v>HO</v>
      </c>
      <c r="C35" s="32" t="str">
        <f>VLOOKUP(B35,B$56:C$61,2)</f>
        <v>Honda</v>
      </c>
      <c r="D35" s="32" t="str">
        <f t="shared" si="1"/>
        <v>CIV</v>
      </c>
      <c r="E35" s="32" t="str">
        <f>VLOOKUP(D35,B$63:C$73,2)</f>
        <v>Civic</v>
      </c>
      <c r="F35" s="33" t="str">
        <f t="shared" si="2"/>
        <v>11</v>
      </c>
      <c r="G35">
        <f t="shared" si="3"/>
        <v>3</v>
      </c>
      <c r="H35" s="29">
        <v>30555.3</v>
      </c>
      <c r="I35" s="34">
        <f t="shared" si="4"/>
        <v>10185.1</v>
      </c>
      <c r="J35" s="32" t="s">
        <v>180</v>
      </c>
      <c r="K35" s="32" t="s">
        <v>186</v>
      </c>
      <c r="L35" s="32">
        <v>75000</v>
      </c>
      <c r="M35" s="32" t="str">
        <f t="shared" si="5"/>
        <v>yes</v>
      </c>
      <c r="N35" s="32" t="str">
        <f>_xlfn.CONCAT(LEFT(A35,7),UPPER(LEFT(J35,3)),RIGHT(A35,3))</f>
        <v>HO11CIVBLA034</v>
      </c>
    </row>
    <row r="36" spans="1:14" x14ac:dyDescent="0.2">
      <c r="A36" s="32" t="s">
        <v>231</v>
      </c>
      <c r="B36" s="32" t="str">
        <f t="shared" si="0"/>
        <v>HO</v>
      </c>
      <c r="C36" s="32" t="str">
        <f>VLOOKUP(B36,B$56:C$61,2)</f>
        <v>Honda</v>
      </c>
      <c r="D36" s="32" t="str">
        <f t="shared" si="1"/>
        <v>CIV</v>
      </c>
      <c r="E36" s="32" t="str">
        <f>VLOOKUP(D36,B$63:C$73,2)</f>
        <v>Civic</v>
      </c>
      <c r="F36" s="33" t="str">
        <f t="shared" si="2"/>
        <v>12</v>
      </c>
      <c r="G36">
        <f t="shared" si="3"/>
        <v>2</v>
      </c>
      <c r="H36" s="29">
        <v>24513.200000000001</v>
      </c>
      <c r="I36" s="34">
        <f t="shared" si="4"/>
        <v>12256.6</v>
      </c>
      <c r="J36" s="32" t="s">
        <v>180</v>
      </c>
      <c r="K36" s="32" t="s">
        <v>208</v>
      </c>
      <c r="L36" s="32">
        <v>75000</v>
      </c>
      <c r="M36" s="32" t="str">
        <f t="shared" si="5"/>
        <v>yes</v>
      </c>
      <c r="N36" s="32" t="str">
        <f>_xlfn.CONCAT(LEFT(A36,7),UPPER(LEFT(J36,3)),RIGHT(A36,3))</f>
        <v>HO12CIVBLA035</v>
      </c>
    </row>
    <row r="37" spans="1:14" x14ac:dyDescent="0.2">
      <c r="A37" s="32" t="s">
        <v>232</v>
      </c>
      <c r="B37" s="32" t="str">
        <f t="shared" si="0"/>
        <v>HO</v>
      </c>
      <c r="C37" s="32" t="str">
        <f>VLOOKUP(B37,B$56:C$61,2)</f>
        <v>Honda</v>
      </c>
      <c r="D37" s="32" t="str">
        <f t="shared" si="1"/>
        <v>CIV</v>
      </c>
      <c r="E37" s="32" t="str">
        <f>VLOOKUP(D37,B$63:C$73,2)</f>
        <v>Civic</v>
      </c>
      <c r="F37" s="33" t="str">
        <f t="shared" si="2"/>
        <v>13</v>
      </c>
      <c r="G37">
        <f t="shared" si="3"/>
        <v>1</v>
      </c>
      <c r="H37" s="29">
        <v>13867.6</v>
      </c>
      <c r="I37" s="34">
        <f t="shared" si="4"/>
        <v>13867.6</v>
      </c>
      <c r="J37" s="32" t="s">
        <v>180</v>
      </c>
      <c r="K37" s="32" t="s">
        <v>213</v>
      </c>
      <c r="L37" s="32">
        <v>75000</v>
      </c>
      <c r="M37" s="32" t="str">
        <f t="shared" si="5"/>
        <v>yes</v>
      </c>
      <c r="N37" s="32" t="str">
        <f>_xlfn.CONCAT(LEFT(A37,7),UPPER(LEFT(J37,3)),RIGHT(A37,3))</f>
        <v>HO13CIVBLA036</v>
      </c>
    </row>
    <row r="38" spans="1:14" x14ac:dyDescent="0.2">
      <c r="A38" s="32" t="s">
        <v>233</v>
      </c>
      <c r="B38" s="32" t="str">
        <f t="shared" si="0"/>
        <v>HO</v>
      </c>
      <c r="C38" s="32" t="str">
        <f>VLOOKUP(B38,B$56:C$61,2)</f>
        <v>Honda</v>
      </c>
      <c r="D38" s="32" t="str">
        <f t="shared" si="1"/>
        <v>ODY</v>
      </c>
      <c r="E38" s="32" t="str">
        <f>VLOOKUP(D38,B$63:C$73,2)</f>
        <v>Odyssey</v>
      </c>
      <c r="F38" s="33" t="str">
        <f t="shared" si="2"/>
        <v>05</v>
      </c>
      <c r="G38">
        <f t="shared" si="3"/>
        <v>9</v>
      </c>
      <c r="H38" s="29">
        <v>60389.5</v>
      </c>
      <c r="I38" s="34">
        <f t="shared" si="4"/>
        <v>6709.9444444444443</v>
      </c>
      <c r="J38" s="32" t="s">
        <v>182</v>
      </c>
      <c r="K38" s="32" t="s">
        <v>5</v>
      </c>
      <c r="L38" s="32">
        <v>100000</v>
      </c>
      <c r="M38" s="32" t="str">
        <f t="shared" si="5"/>
        <v>yes</v>
      </c>
      <c r="N38" s="32" t="str">
        <f>_xlfn.CONCAT(LEFT(A38,7),UPPER(LEFT(J38,3)),RIGHT(A38,3))</f>
        <v>HO05ODYWHI037</v>
      </c>
    </row>
    <row r="39" spans="1:14" x14ac:dyDescent="0.2">
      <c r="A39" s="32" t="s">
        <v>234</v>
      </c>
      <c r="B39" s="32" t="str">
        <f t="shared" si="0"/>
        <v>HO</v>
      </c>
      <c r="C39" s="32" t="str">
        <f>VLOOKUP(B39,B$56:C$61,2)</f>
        <v>Honda</v>
      </c>
      <c r="D39" s="32" t="str">
        <f t="shared" si="1"/>
        <v>ODY</v>
      </c>
      <c r="E39" s="32" t="str">
        <f>VLOOKUP(D39,B$63:C$73,2)</f>
        <v>Odyssey</v>
      </c>
      <c r="F39" s="33" t="str">
        <f t="shared" si="2"/>
        <v>07</v>
      </c>
      <c r="G39">
        <f t="shared" si="3"/>
        <v>7</v>
      </c>
      <c r="H39" s="29">
        <v>50854.1</v>
      </c>
      <c r="I39" s="34">
        <f t="shared" si="4"/>
        <v>7264.8714285714286</v>
      </c>
      <c r="J39" s="32" t="s">
        <v>180</v>
      </c>
      <c r="K39" s="32" t="s">
        <v>215</v>
      </c>
      <c r="L39" s="32">
        <v>100000</v>
      </c>
      <c r="M39" s="32" t="str">
        <f t="shared" si="5"/>
        <v>yes</v>
      </c>
      <c r="N39" s="32" t="str">
        <f>_xlfn.CONCAT(LEFT(A39,7),UPPER(LEFT(J39,3)),RIGHT(A39,3))</f>
        <v>HO07ODYBLA038</v>
      </c>
    </row>
    <row r="40" spans="1:14" x14ac:dyDescent="0.2">
      <c r="A40" s="32" t="s">
        <v>235</v>
      </c>
      <c r="B40" s="32" t="str">
        <f t="shared" si="0"/>
        <v>HO</v>
      </c>
      <c r="C40" s="32" t="str">
        <f>VLOOKUP(B40,B$56:C$61,2)</f>
        <v>Honda</v>
      </c>
      <c r="D40" s="32" t="str">
        <f t="shared" si="1"/>
        <v>ODY</v>
      </c>
      <c r="E40" s="32" t="str">
        <f>VLOOKUP(D40,B$63:C$73,2)</f>
        <v>Odyssey</v>
      </c>
      <c r="F40" s="33" t="str">
        <f t="shared" si="2"/>
        <v>08</v>
      </c>
      <c r="G40">
        <f t="shared" si="3"/>
        <v>6</v>
      </c>
      <c r="H40" s="29">
        <v>42504.6</v>
      </c>
      <c r="I40" s="34">
        <f t="shared" si="4"/>
        <v>7084.0999999999995</v>
      </c>
      <c r="J40" s="32" t="s">
        <v>182</v>
      </c>
      <c r="K40" s="32" t="s">
        <v>63</v>
      </c>
      <c r="L40" s="32">
        <v>100000</v>
      </c>
      <c r="M40" s="32" t="str">
        <f t="shared" si="5"/>
        <v>yes</v>
      </c>
      <c r="N40" s="32" t="str">
        <f>_xlfn.CONCAT(LEFT(A40,7),UPPER(LEFT(J40,3)),RIGHT(A40,3))</f>
        <v>HO08ODYWHI039</v>
      </c>
    </row>
    <row r="41" spans="1:14" x14ac:dyDescent="0.2">
      <c r="A41" s="32" t="s">
        <v>236</v>
      </c>
      <c r="B41" s="32" t="str">
        <f t="shared" si="0"/>
        <v>HO</v>
      </c>
      <c r="C41" s="32" t="str">
        <f>VLOOKUP(B41,B$56:C$61,2)</f>
        <v>Honda</v>
      </c>
      <c r="D41" s="32" t="str">
        <f t="shared" si="1"/>
        <v>ODY</v>
      </c>
      <c r="E41" s="32" t="str">
        <f>VLOOKUP(D41,B$63:C$73,2)</f>
        <v>Odyssey</v>
      </c>
      <c r="F41" s="33" t="str">
        <f t="shared" si="2"/>
        <v>01</v>
      </c>
      <c r="G41">
        <f t="shared" si="3"/>
        <v>13</v>
      </c>
      <c r="H41" s="29">
        <v>68658.899999999994</v>
      </c>
      <c r="I41" s="34">
        <f t="shared" si="4"/>
        <v>5281.4538461538459</v>
      </c>
      <c r="J41" s="32" t="s">
        <v>180</v>
      </c>
      <c r="K41" s="32" t="s">
        <v>11</v>
      </c>
      <c r="L41" s="32">
        <v>100000</v>
      </c>
      <c r="M41" s="32" t="str">
        <f t="shared" si="5"/>
        <v>yes</v>
      </c>
      <c r="N41" s="32" t="str">
        <f>_xlfn.CONCAT(LEFT(A41,7),UPPER(LEFT(J41,3)),RIGHT(A41,3))</f>
        <v>HO01ODYBLA040</v>
      </c>
    </row>
    <row r="42" spans="1:14" x14ac:dyDescent="0.2">
      <c r="A42" s="32" t="s">
        <v>237</v>
      </c>
      <c r="B42" s="32" t="str">
        <f t="shared" si="0"/>
        <v>HO</v>
      </c>
      <c r="C42" s="32" t="str">
        <f>VLOOKUP(B42,B$56:C$61,2)</f>
        <v>Honda</v>
      </c>
      <c r="D42" s="32" t="str">
        <f t="shared" si="1"/>
        <v>ODY</v>
      </c>
      <c r="E42" s="32" t="str">
        <f>VLOOKUP(D42,B$63:C$73,2)</f>
        <v>Odyssey</v>
      </c>
      <c r="F42" s="33" t="str">
        <f t="shared" si="2"/>
        <v>14</v>
      </c>
      <c r="G42">
        <f t="shared" si="3"/>
        <v>0</v>
      </c>
      <c r="H42" s="29">
        <v>3708.1</v>
      </c>
      <c r="I42" s="34">
        <f t="shared" si="4"/>
        <v>3708.1</v>
      </c>
      <c r="J42" s="32" t="s">
        <v>180</v>
      </c>
      <c r="K42" s="32" t="s">
        <v>183</v>
      </c>
      <c r="L42" s="32">
        <v>100000</v>
      </c>
      <c r="M42" s="32" t="str">
        <f t="shared" si="5"/>
        <v>yes</v>
      </c>
      <c r="N42" s="32" t="str">
        <f>_xlfn.CONCAT(LEFT(A42,7),UPPER(LEFT(J42,3)),RIGHT(A42,3))</f>
        <v>HO14ODYBLA041</v>
      </c>
    </row>
    <row r="43" spans="1:14" x14ac:dyDescent="0.2">
      <c r="A43" s="32" t="s">
        <v>238</v>
      </c>
      <c r="B43" s="32" t="str">
        <f t="shared" si="0"/>
        <v>CR</v>
      </c>
      <c r="C43" s="32" t="str">
        <f>VLOOKUP(B43,B$56:C$61,2)</f>
        <v>Chrysler</v>
      </c>
      <c r="D43" s="32" t="str">
        <f t="shared" si="1"/>
        <v>PTC</v>
      </c>
      <c r="E43" s="32" t="str">
        <f>VLOOKUP(D43,B$63:C$73,2)</f>
        <v>PT Cruiser</v>
      </c>
      <c r="F43" s="33" t="str">
        <f t="shared" si="2"/>
        <v>04</v>
      </c>
      <c r="G43">
        <f t="shared" si="3"/>
        <v>10</v>
      </c>
      <c r="H43" s="29">
        <v>64542</v>
      </c>
      <c r="I43" s="34">
        <f t="shared" si="4"/>
        <v>6454.2</v>
      </c>
      <c r="J43" s="32" t="s">
        <v>211</v>
      </c>
      <c r="K43" s="32" t="s">
        <v>11</v>
      </c>
      <c r="L43" s="32">
        <v>75000</v>
      </c>
      <c r="M43" s="32" t="str">
        <f t="shared" si="5"/>
        <v>yes</v>
      </c>
      <c r="N43" s="32" t="str">
        <f>_xlfn.CONCAT(LEFT(A43,7),UPPER(LEFT(J43,3)),RIGHT(A43,3))</f>
        <v>CR04PTCBLU042</v>
      </c>
    </row>
    <row r="44" spans="1:14" x14ac:dyDescent="0.2">
      <c r="A44" s="32" t="s">
        <v>239</v>
      </c>
      <c r="B44" s="32" t="str">
        <f t="shared" si="0"/>
        <v>CR</v>
      </c>
      <c r="C44" s="32" t="str">
        <f>VLOOKUP(B44,B$56:C$61,2)</f>
        <v>Chrysler</v>
      </c>
      <c r="D44" s="32" t="str">
        <f t="shared" si="1"/>
        <v>PTC</v>
      </c>
      <c r="E44" s="32" t="str">
        <f>VLOOKUP(D44,B$63:C$73,2)</f>
        <v>PT Cruiser</v>
      </c>
      <c r="F44" s="33" t="str">
        <f t="shared" si="2"/>
        <v>07</v>
      </c>
      <c r="G44">
        <f t="shared" si="3"/>
        <v>7</v>
      </c>
      <c r="H44" s="29">
        <v>42074.2</v>
      </c>
      <c r="I44" s="34">
        <f t="shared" si="4"/>
        <v>6010.5999999999995</v>
      </c>
      <c r="J44" s="32" t="s">
        <v>185</v>
      </c>
      <c r="K44" s="32" t="s">
        <v>221</v>
      </c>
      <c r="L44" s="32">
        <v>75000</v>
      </c>
      <c r="M44" s="32" t="str">
        <f t="shared" si="5"/>
        <v>yes</v>
      </c>
      <c r="N44" s="32" t="str">
        <f>_xlfn.CONCAT(LEFT(A44,7),UPPER(LEFT(J44,3)),RIGHT(A44,3))</f>
        <v>CR07PTCGRE043</v>
      </c>
    </row>
    <row r="45" spans="1:14" x14ac:dyDescent="0.2">
      <c r="A45" s="32" t="s">
        <v>240</v>
      </c>
      <c r="B45" s="32" t="str">
        <f t="shared" si="0"/>
        <v>CR</v>
      </c>
      <c r="C45" s="32" t="str">
        <f>VLOOKUP(B45,B$56:C$61,2)</f>
        <v>Chrysler</v>
      </c>
      <c r="D45" s="32" t="str">
        <f t="shared" si="1"/>
        <v>PTC</v>
      </c>
      <c r="E45" s="32" t="str">
        <f>VLOOKUP(D45,B$63:C$73,2)</f>
        <v>PT Cruiser</v>
      </c>
      <c r="F45" s="33" t="str">
        <f t="shared" si="2"/>
        <v>11</v>
      </c>
      <c r="G45">
        <f t="shared" si="3"/>
        <v>3</v>
      </c>
      <c r="H45" s="29">
        <v>27394.2</v>
      </c>
      <c r="I45" s="34">
        <f t="shared" si="4"/>
        <v>9131.4</v>
      </c>
      <c r="J45" s="32" t="s">
        <v>180</v>
      </c>
      <c r="K45" s="32" t="s">
        <v>199</v>
      </c>
      <c r="L45" s="32">
        <v>75000</v>
      </c>
      <c r="M45" s="32" t="str">
        <f t="shared" si="5"/>
        <v>yes</v>
      </c>
      <c r="N45" s="32" t="str">
        <f>_xlfn.CONCAT(LEFT(A45,7),UPPER(LEFT(J45,3)),RIGHT(A45,3))</f>
        <v>CR11PTCBLA044</v>
      </c>
    </row>
    <row r="46" spans="1:14" x14ac:dyDescent="0.2">
      <c r="A46" s="32" t="s">
        <v>241</v>
      </c>
      <c r="B46" s="32" t="str">
        <f t="shared" si="0"/>
        <v>CR</v>
      </c>
      <c r="C46" s="32" t="str">
        <f>VLOOKUP(B46,B$56:C$61,2)</f>
        <v>Chrysler</v>
      </c>
      <c r="D46" s="32" t="str">
        <f t="shared" si="1"/>
        <v>CAR</v>
      </c>
      <c r="E46" s="32" t="str">
        <f>VLOOKUP(D46,B$63:C$73,2)</f>
        <v>Caravan</v>
      </c>
      <c r="F46" s="33" t="str">
        <f t="shared" si="2"/>
        <v>99</v>
      </c>
      <c r="G46">
        <f t="shared" si="3"/>
        <v>15</v>
      </c>
      <c r="H46" s="29">
        <v>79420.600000000006</v>
      </c>
      <c r="I46" s="34">
        <f t="shared" si="4"/>
        <v>5294.7066666666669</v>
      </c>
      <c r="J46" s="32" t="s">
        <v>185</v>
      </c>
      <c r="K46" s="32" t="s">
        <v>208</v>
      </c>
      <c r="L46" s="32">
        <v>75000</v>
      </c>
      <c r="M46" t="str">
        <f t="shared" si="5"/>
        <v>no</v>
      </c>
      <c r="N46" s="32" t="str">
        <f>_xlfn.CONCAT(LEFT(A46,7),UPPER(LEFT(J46,3)),RIGHT(A46,3))</f>
        <v>CR99CARGRE045</v>
      </c>
    </row>
    <row r="47" spans="1:14" x14ac:dyDescent="0.2">
      <c r="A47" s="32" t="s">
        <v>242</v>
      </c>
      <c r="B47" s="32" t="str">
        <f t="shared" si="0"/>
        <v>CR</v>
      </c>
      <c r="C47" s="32" t="str">
        <f>VLOOKUP(B47,B$56:C$61,2)</f>
        <v>Chrysler</v>
      </c>
      <c r="D47" s="32" t="str">
        <f t="shared" si="1"/>
        <v>CAR</v>
      </c>
      <c r="E47" s="32" t="str">
        <f>VLOOKUP(D47,B$63:C$73,2)</f>
        <v>Caravan</v>
      </c>
      <c r="F47" s="33" t="str">
        <f t="shared" si="2"/>
        <v>00</v>
      </c>
      <c r="G47">
        <f t="shared" si="3"/>
        <v>14</v>
      </c>
      <c r="H47" s="29">
        <v>77243.100000000006</v>
      </c>
      <c r="I47" s="34">
        <f t="shared" si="4"/>
        <v>5517.3642857142859</v>
      </c>
      <c r="J47" s="32" t="s">
        <v>180</v>
      </c>
      <c r="K47" s="32" t="s">
        <v>56</v>
      </c>
      <c r="L47" s="32">
        <v>75000</v>
      </c>
      <c r="M47" t="str">
        <f t="shared" si="5"/>
        <v>no</v>
      </c>
      <c r="N47" s="32" t="str">
        <f>_xlfn.CONCAT(LEFT(A47,7),UPPER(LEFT(J47,3)),RIGHT(A47,3))</f>
        <v>CR00CARBLA046</v>
      </c>
    </row>
    <row r="48" spans="1:14" x14ac:dyDescent="0.2">
      <c r="A48" s="32" t="s">
        <v>243</v>
      </c>
      <c r="B48" s="32" t="str">
        <f t="shared" si="0"/>
        <v>CR</v>
      </c>
      <c r="C48" s="32" t="str">
        <f>VLOOKUP(B48,B$56:C$61,2)</f>
        <v>Chrysler</v>
      </c>
      <c r="D48" s="32" t="str">
        <f t="shared" si="1"/>
        <v>CAR</v>
      </c>
      <c r="E48" s="32" t="str">
        <f>VLOOKUP(D48,B$63:C$73,2)</f>
        <v>Caravan</v>
      </c>
      <c r="F48" s="33" t="str">
        <f t="shared" si="2"/>
        <v>04</v>
      </c>
      <c r="G48">
        <f t="shared" si="3"/>
        <v>10</v>
      </c>
      <c r="H48" s="29">
        <v>72527.199999999997</v>
      </c>
      <c r="I48" s="34">
        <f t="shared" si="4"/>
        <v>7252.7199999999993</v>
      </c>
      <c r="J48" s="32" t="s">
        <v>182</v>
      </c>
      <c r="K48" s="32" t="s">
        <v>204</v>
      </c>
      <c r="L48" s="32">
        <v>75000</v>
      </c>
      <c r="M48" s="32" t="str">
        <f t="shared" si="5"/>
        <v>yes</v>
      </c>
      <c r="N48" s="32" t="str">
        <f>_xlfn.CONCAT(LEFT(A48,7),UPPER(LEFT(J48,3)),RIGHT(A48,3))</f>
        <v>CR04CARWHI047</v>
      </c>
    </row>
    <row r="49" spans="1:14" x14ac:dyDescent="0.2">
      <c r="A49" s="32" t="s">
        <v>244</v>
      </c>
      <c r="B49" s="32" t="str">
        <f t="shared" si="0"/>
        <v>CR</v>
      </c>
      <c r="C49" s="32" t="str">
        <f>VLOOKUP(B49,B$56:C$61,2)</f>
        <v>Chrysler</v>
      </c>
      <c r="D49" s="32" t="str">
        <f t="shared" si="1"/>
        <v>CAR</v>
      </c>
      <c r="E49" s="32" t="str">
        <f>VLOOKUP(D49,B$63:C$73,2)</f>
        <v>Caravan</v>
      </c>
      <c r="F49" s="33" t="str">
        <f t="shared" si="2"/>
        <v>04</v>
      </c>
      <c r="G49">
        <f t="shared" si="3"/>
        <v>10</v>
      </c>
      <c r="H49" s="29">
        <v>52699.4</v>
      </c>
      <c r="I49" s="34">
        <f t="shared" si="4"/>
        <v>5269.9400000000005</v>
      </c>
      <c r="J49" s="32" t="s">
        <v>220</v>
      </c>
      <c r="K49" s="32" t="s">
        <v>204</v>
      </c>
      <c r="L49" s="32">
        <v>75000</v>
      </c>
      <c r="M49" s="32" t="str">
        <f t="shared" si="5"/>
        <v>yes</v>
      </c>
      <c r="N49" s="32" t="str">
        <f>_xlfn.CONCAT(LEFT(A49,7),UPPER(LEFT(J49,3)),RIGHT(A49,3))</f>
        <v>CR04CARRED048</v>
      </c>
    </row>
    <row r="50" spans="1:14" x14ac:dyDescent="0.2">
      <c r="A50" s="32" t="s">
        <v>245</v>
      </c>
      <c r="B50" s="32" t="str">
        <f t="shared" si="0"/>
        <v>HY</v>
      </c>
      <c r="C50" s="32" t="str">
        <f>VLOOKUP(B50,B$56:C$61,2)</f>
        <v>Hundai</v>
      </c>
      <c r="D50" s="32" t="str">
        <f t="shared" si="1"/>
        <v>ELA</v>
      </c>
      <c r="E50" s="32" t="str">
        <f>VLOOKUP(D50,B$63:C$73,2)</f>
        <v>Elantra</v>
      </c>
      <c r="F50" s="33" t="str">
        <f t="shared" si="2"/>
        <v>11</v>
      </c>
      <c r="G50">
        <f t="shared" si="3"/>
        <v>3</v>
      </c>
      <c r="H50" s="29">
        <v>29102.3</v>
      </c>
      <c r="I50" s="34">
        <f t="shared" si="4"/>
        <v>9700.7666666666664</v>
      </c>
      <c r="J50" s="32" t="s">
        <v>180</v>
      </c>
      <c r="K50" s="32" t="s">
        <v>206</v>
      </c>
      <c r="L50" s="32">
        <v>100000</v>
      </c>
      <c r="M50" s="32" t="str">
        <f t="shared" si="5"/>
        <v>yes</v>
      </c>
      <c r="N50" s="32" t="str">
        <f>_xlfn.CONCAT(LEFT(A50,7),UPPER(LEFT(J50,3)),RIGHT(A50,3))</f>
        <v>HY11ELABLA049</v>
      </c>
    </row>
    <row r="51" spans="1:14" x14ac:dyDescent="0.2">
      <c r="A51" s="32" t="s">
        <v>246</v>
      </c>
      <c r="B51" s="32" t="str">
        <f t="shared" si="0"/>
        <v>HY</v>
      </c>
      <c r="C51" s="32" t="str">
        <f>VLOOKUP(B51,B$56:C$61,2)</f>
        <v>Hundai</v>
      </c>
      <c r="D51" s="32" t="str">
        <f t="shared" si="1"/>
        <v>ELA</v>
      </c>
      <c r="E51" s="32" t="str">
        <f>VLOOKUP(D51,B$63:C$73,2)</f>
        <v>Elantra</v>
      </c>
      <c r="F51" s="33" t="str">
        <f t="shared" si="2"/>
        <v>12</v>
      </c>
      <c r="G51">
        <f t="shared" si="3"/>
        <v>2</v>
      </c>
      <c r="H51" s="29">
        <v>22282</v>
      </c>
      <c r="I51" s="34">
        <f t="shared" si="4"/>
        <v>11141</v>
      </c>
      <c r="J51" s="32" t="s">
        <v>211</v>
      </c>
      <c r="K51" s="32" t="s">
        <v>183</v>
      </c>
      <c r="L51" s="32">
        <v>100000</v>
      </c>
      <c r="M51" s="32" t="str">
        <f t="shared" si="5"/>
        <v>yes</v>
      </c>
      <c r="N51" s="32" t="str">
        <f>_xlfn.CONCAT(LEFT(A51,7),UPPER(LEFT(J51,3)),RIGHT(A51,3))</f>
        <v>HY12ELABLU050</v>
      </c>
    </row>
    <row r="52" spans="1:14" x14ac:dyDescent="0.2">
      <c r="A52" s="32" t="s">
        <v>247</v>
      </c>
      <c r="B52" s="32" t="str">
        <f t="shared" si="0"/>
        <v>HY</v>
      </c>
      <c r="C52" s="32" t="str">
        <f>VLOOKUP(B52,B$56:C$61,2)</f>
        <v>Hundai</v>
      </c>
      <c r="D52" s="32" t="str">
        <f t="shared" si="1"/>
        <v>ELA</v>
      </c>
      <c r="E52" s="32" t="str">
        <f>VLOOKUP(D52,B$63:C$73,2)</f>
        <v>Elantra</v>
      </c>
      <c r="F52" s="33" t="str">
        <f t="shared" si="2"/>
        <v>13</v>
      </c>
      <c r="G52">
        <f t="shared" si="3"/>
        <v>1</v>
      </c>
      <c r="H52" s="29">
        <v>20223.900000000001</v>
      </c>
      <c r="I52" s="34">
        <f t="shared" si="4"/>
        <v>20223.900000000001</v>
      </c>
      <c r="J52" s="32" t="s">
        <v>180</v>
      </c>
      <c r="K52" s="32" t="s">
        <v>195</v>
      </c>
      <c r="L52" s="32">
        <v>100000</v>
      </c>
      <c r="M52" s="32" t="str">
        <f t="shared" si="5"/>
        <v>yes</v>
      </c>
      <c r="N52" s="32" t="str">
        <f>_xlfn.CONCAT(LEFT(A52,7),UPPER(LEFT(J52,3)),RIGHT(A52,3))</f>
        <v>HY13ELABLA051</v>
      </c>
    </row>
    <row r="53" spans="1:14" x14ac:dyDescent="0.2">
      <c r="A53" s="32" t="s">
        <v>248</v>
      </c>
      <c r="B53" s="32" t="str">
        <f t="shared" si="0"/>
        <v>HY</v>
      </c>
      <c r="C53" s="32" t="str">
        <f>VLOOKUP(B53,B$56:C$61,2)</f>
        <v>Hundai</v>
      </c>
      <c r="D53" s="32" t="str">
        <f t="shared" si="1"/>
        <v>ELA</v>
      </c>
      <c r="E53" s="32" t="str">
        <f>VLOOKUP(D53,B$63:C$73,2)</f>
        <v>Elantra</v>
      </c>
      <c r="F53" s="33" t="str">
        <f t="shared" si="2"/>
        <v>13</v>
      </c>
      <c r="G53">
        <f t="shared" si="3"/>
        <v>1</v>
      </c>
      <c r="H53" s="29">
        <v>22188.5</v>
      </c>
      <c r="I53" s="34">
        <f t="shared" si="4"/>
        <v>22188.5</v>
      </c>
      <c r="J53" s="32" t="s">
        <v>211</v>
      </c>
      <c r="K53" s="32" t="s">
        <v>190</v>
      </c>
      <c r="L53" s="32">
        <v>100000</v>
      </c>
      <c r="M53" s="32" t="str">
        <f t="shared" si="5"/>
        <v>yes</v>
      </c>
      <c r="N53" s="32" t="str">
        <f>_xlfn.CONCAT(LEFT(A53,7),UPPER(LEFT(J53,3)),RIGHT(A53,3))</f>
        <v>HY13ELABLU052</v>
      </c>
    </row>
    <row r="55" spans="1:14" x14ac:dyDescent="0.2">
      <c r="B55" s="15" t="s">
        <v>305</v>
      </c>
      <c r="C55" s="15"/>
    </row>
    <row r="56" spans="1:14" x14ac:dyDescent="0.2">
      <c r="B56" s="20" t="s">
        <v>249</v>
      </c>
      <c r="C56" s="20" t="s">
        <v>250</v>
      </c>
    </row>
    <row r="57" spans="1:14" x14ac:dyDescent="0.2">
      <c r="B57" s="20" t="s">
        <v>251</v>
      </c>
      <c r="C57" s="20" t="s">
        <v>252</v>
      </c>
    </row>
    <row r="58" spans="1:14" x14ac:dyDescent="0.2">
      <c r="B58" s="20" t="s">
        <v>253</v>
      </c>
      <c r="C58" s="20" t="s">
        <v>254</v>
      </c>
    </row>
    <row r="59" spans="1:14" x14ac:dyDescent="0.2">
      <c r="B59" s="20" t="s">
        <v>255</v>
      </c>
      <c r="C59" s="20" t="s">
        <v>256</v>
      </c>
    </row>
    <row r="60" spans="1:14" x14ac:dyDescent="0.2">
      <c r="B60" s="20" t="s">
        <v>257</v>
      </c>
      <c r="C60" s="20" t="s">
        <v>258</v>
      </c>
    </row>
    <row r="61" spans="1:14" x14ac:dyDescent="0.2">
      <c r="B61" s="20" t="s">
        <v>259</v>
      </c>
      <c r="C61" s="20" t="s">
        <v>260</v>
      </c>
    </row>
    <row r="63" spans="1:14" x14ac:dyDescent="0.2">
      <c r="B63" s="30" t="s">
        <v>261</v>
      </c>
      <c r="C63" s="30" t="s">
        <v>262</v>
      </c>
    </row>
    <row r="64" spans="1:14" x14ac:dyDescent="0.2">
      <c r="B64" s="30" t="s">
        <v>263</v>
      </c>
      <c r="C64" s="30" t="s">
        <v>264</v>
      </c>
    </row>
    <row r="65" spans="2:3" x14ac:dyDescent="0.2">
      <c r="B65" s="30" t="s">
        <v>265</v>
      </c>
      <c r="C65" s="30" t="s">
        <v>266</v>
      </c>
    </row>
    <row r="66" spans="2:3" x14ac:dyDescent="0.2">
      <c r="B66" s="30" t="s">
        <v>267</v>
      </c>
      <c r="C66" s="30" t="s">
        <v>268</v>
      </c>
    </row>
    <row r="67" spans="2:3" x14ac:dyDescent="0.2">
      <c r="B67" s="30" t="s">
        <v>269</v>
      </c>
      <c r="C67" s="30" t="s">
        <v>270</v>
      </c>
    </row>
    <row r="68" spans="2:3" x14ac:dyDescent="0.2">
      <c r="B68" s="30" t="s">
        <v>271</v>
      </c>
      <c r="C68" s="30" t="s">
        <v>272</v>
      </c>
    </row>
    <row r="69" spans="2:3" x14ac:dyDescent="0.2">
      <c r="B69" s="30" t="s">
        <v>273</v>
      </c>
      <c r="C69" s="30" t="s">
        <v>274</v>
      </c>
    </row>
    <row r="70" spans="2:3" x14ac:dyDescent="0.2">
      <c r="B70" s="30" t="s">
        <v>275</v>
      </c>
      <c r="C70" s="30" t="s">
        <v>276</v>
      </c>
    </row>
    <row r="71" spans="2:3" x14ac:dyDescent="0.2">
      <c r="B71" s="30" t="s">
        <v>277</v>
      </c>
      <c r="C71" s="30" t="s">
        <v>278</v>
      </c>
    </row>
    <row r="72" spans="2:3" x14ac:dyDescent="0.2">
      <c r="B72" s="30" t="s">
        <v>279</v>
      </c>
      <c r="C72" s="30" t="s">
        <v>280</v>
      </c>
    </row>
    <row r="73" spans="2:3" x14ac:dyDescent="0.2">
      <c r="B73" s="30" t="s">
        <v>281</v>
      </c>
      <c r="C73" s="30" t="s">
        <v>282</v>
      </c>
    </row>
  </sheetData>
  <conditionalFormatting sqref="M2:M1048576">
    <cfRule type="containsText" dxfId="0" priority="5" operator="containsText" text="no">
      <formula>NOT(ISERROR(SEARCH("no",M2)))</formula>
    </cfRule>
  </conditionalFormatting>
  <conditionalFormatting sqref="G2:G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4:H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promptTitle="Select Car ID" prompt="." sqref="Q3" xr:uid="{ACDB4381-C52C-454F-A0EB-A742EAC4A0C5}">
      <formula1>$A$2:$A$53</formula1>
    </dataValidation>
  </dataValidation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23F4-6687-B744-9AF7-986B5F7E848B}">
  <dimension ref="A1:I73"/>
  <sheetViews>
    <sheetView topLeftCell="A53" workbookViewId="0">
      <selection activeCell="K83" sqref="K83"/>
    </sheetView>
  </sheetViews>
  <sheetFormatPr baseColWidth="10" defaultRowHeight="16" x14ac:dyDescent="0.2"/>
  <cols>
    <col min="1" max="1" width="16.1640625" bestFit="1" customWidth="1"/>
    <col min="2" max="2" width="13" bestFit="1" customWidth="1"/>
    <col min="5" max="5" width="12.6640625" bestFit="1" customWidth="1"/>
    <col min="9" max="9" width="13" bestFit="1" customWidth="1"/>
  </cols>
  <sheetData>
    <row r="1" spans="1:9" x14ac:dyDescent="0.2">
      <c r="H1" s="20" t="s">
        <v>306</v>
      </c>
      <c r="I1" s="20"/>
    </row>
    <row r="2" spans="1:9" x14ac:dyDescent="0.2">
      <c r="E2" s="20" t="s">
        <v>304</v>
      </c>
      <c r="H2" s="20" t="s">
        <v>307</v>
      </c>
      <c r="I2" s="15" t="s">
        <v>213</v>
      </c>
    </row>
    <row r="3" spans="1:9" x14ac:dyDescent="0.2">
      <c r="A3" s="26" t="s">
        <v>175</v>
      </c>
      <c r="B3" s="26" t="s">
        <v>165</v>
      </c>
      <c r="E3" s="7" t="str" cm="1">
        <f t="array" ref="E3:E19">_xlfn.UNIQUE(car_inventory!K2:K53)</f>
        <v>Smith</v>
      </c>
      <c r="H3" s="20" t="s">
        <v>308</v>
      </c>
      <c r="I3" s="30" t="str" cm="1">
        <f t="array" ref="I3:I5">_xlfn._xlws.FILTER(B4:B72,A4:A72 = I2)</f>
        <v>HO13CIV036</v>
      </c>
    </row>
    <row r="4" spans="1:9" x14ac:dyDescent="0.2">
      <c r="A4" t="s">
        <v>204</v>
      </c>
      <c r="B4" t="s">
        <v>243</v>
      </c>
      <c r="E4" s="7" t="str">
        <v>McCall</v>
      </c>
      <c r="I4" s="30" t="str">
        <v>TY12CAM029</v>
      </c>
    </row>
    <row r="5" spans="1:9" x14ac:dyDescent="0.2">
      <c r="A5" t="s">
        <v>204</v>
      </c>
      <c r="B5" t="s">
        <v>244</v>
      </c>
      <c r="E5" s="7" t="str">
        <v>Lyon</v>
      </c>
      <c r="I5" s="30" t="str">
        <v>TY96CAM020</v>
      </c>
    </row>
    <row r="6" spans="1:9" x14ac:dyDescent="0.2">
      <c r="A6" t="s">
        <v>204</v>
      </c>
      <c r="B6" t="s">
        <v>203</v>
      </c>
      <c r="E6" s="7" t="str">
        <v>Jones</v>
      </c>
    </row>
    <row r="7" spans="1:9" x14ac:dyDescent="0.2">
      <c r="A7" t="s">
        <v>286</v>
      </c>
      <c r="E7" s="7" t="str">
        <v>Ewenty</v>
      </c>
    </row>
    <row r="8" spans="1:9" x14ac:dyDescent="0.2">
      <c r="A8" t="s">
        <v>213</v>
      </c>
      <c r="B8" t="s">
        <v>232</v>
      </c>
      <c r="E8" s="7" t="str">
        <v>Howard</v>
      </c>
    </row>
    <row r="9" spans="1:9" x14ac:dyDescent="0.2">
      <c r="A9" t="s">
        <v>213</v>
      </c>
      <c r="B9" t="s">
        <v>225</v>
      </c>
      <c r="E9" s="7" t="str">
        <v>Praulty</v>
      </c>
    </row>
    <row r="10" spans="1:9" x14ac:dyDescent="0.2">
      <c r="A10" t="s">
        <v>213</v>
      </c>
      <c r="B10" t="s">
        <v>212</v>
      </c>
      <c r="E10" s="7" t="str">
        <v>Yousef</v>
      </c>
    </row>
    <row r="11" spans="1:9" x14ac:dyDescent="0.2">
      <c r="A11" t="s">
        <v>287</v>
      </c>
      <c r="E11" s="7" t="str">
        <v>Vizzini</v>
      </c>
    </row>
    <row r="12" spans="1:9" x14ac:dyDescent="0.2">
      <c r="A12" t="s">
        <v>190</v>
      </c>
      <c r="B12" t="s">
        <v>189</v>
      </c>
      <c r="E12" s="7" t="str">
        <v>Rodriguez</v>
      </c>
    </row>
    <row r="13" spans="1:9" x14ac:dyDescent="0.2">
      <c r="A13" t="s">
        <v>190</v>
      </c>
      <c r="B13" t="s">
        <v>248</v>
      </c>
      <c r="E13" s="7" t="str">
        <v>Santos</v>
      </c>
    </row>
    <row r="14" spans="1:9" x14ac:dyDescent="0.2">
      <c r="A14" t="s">
        <v>190</v>
      </c>
      <c r="B14" t="s">
        <v>216</v>
      </c>
      <c r="E14" s="7" t="str">
        <v>Bard</v>
      </c>
    </row>
    <row r="15" spans="1:9" x14ac:dyDescent="0.2">
      <c r="A15" t="s">
        <v>288</v>
      </c>
      <c r="E15" s="7" t="str">
        <v>Torrens</v>
      </c>
    </row>
    <row r="16" spans="1:9" x14ac:dyDescent="0.2">
      <c r="A16" t="s">
        <v>221</v>
      </c>
      <c r="B16" t="s">
        <v>239</v>
      </c>
      <c r="E16" s="7" t="str">
        <v>Hulinski</v>
      </c>
    </row>
    <row r="17" spans="1:5" x14ac:dyDescent="0.2">
      <c r="A17" t="s">
        <v>221</v>
      </c>
      <c r="B17" t="s">
        <v>219</v>
      </c>
      <c r="E17" s="7" t="str">
        <v>Chan</v>
      </c>
    </row>
    <row r="18" spans="1:5" x14ac:dyDescent="0.2">
      <c r="A18" t="s">
        <v>221</v>
      </c>
      <c r="B18" t="s">
        <v>222</v>
      </c>
      <c r="E18" s="7" t="str">
        <v>Swartz</v>
      </c>
    </row>
    <row r="19" spans="1:5" x14ac:dyDescent="0.2">
      <c r="A19" t="s">
        <v>289</v>
      </c>
      <c r="E19" s="7" t="str">
        <v>Gaul</v>
      </c>
    </row>
    <row r="20" spans="1:5" x14ac:dyDescent="0.2">
      <c r="A20" t="s">
        <v>5</v>
      </c>
      <c r="B20" t="s">
        <v>192</v>
      </c>
    </row>
    <row r="21" spans="1:5" x14ac:dyDescent="0.2">
      <c r="A21" t="s">
        <v>5</v>
      </c>
      <c r="B21" t="s">
        <v>233</v>
      </c>
    </row>
    <row r="22" spans="1:5" x14ac:dyDescent="0.2">
      <c r="A22" t="s">
        <v>5</v>
      </c>
      <c r="B22" t="s">
        <v>218</v>
      </c>
    </row>
    <row r="23" spans="1:5" x14ac:dyDescent="0.2">
      <c r="A23" t="s">
        <v>290</v>
      </c>
    </row>
    <row r="24" spans="1:5" x14ac:dyDescent="0.2">
      <c r="A24" t="s">
        <v>208</v>
      </c>
      <c r="B24" t="s">
        <v>241</v>
      </c>
    </row>
    <row r="25" spans="1:5" x14ac:dyDescent="0.2">
      <c r="A25" t="s">
        <v>208</v>
      </c>
      <c r="B25" t="s">
        <v>207</v>
      </c>
    </row>
    <row r="26" spans="1:5" x14ac:dyDescent="0.2">
      <c r="A26" t="s">
        <v>208</v>
      </c>
      <c r="B26" t="s">
        <v>231</v>
      </c>
    </row>
    <row r="27" spans="1:5" x14ac:dyDescent="0.2">
      <c r="A27" t="s">
        <v>291</v>
      </c>
    </row>
    <row r="28" spans="1:5" x14ac:dyDescent="0.2">
      <c r="A28" t="s">
        <v>56</v>
      </c>
      <c r="B28" t="s">
        <v>242</v>
      </c>
    </row>
    <row r="29" spans="1:5" x14ac:dyDescent="0.2">
      <c r="A29" t="s">
        <v>56</v>
      </c>
      <c r="B29" t="s">
        <v>187</v>
      </c>
    </row>
    <row r="30" spans="1:5" x14ac:dyDescent="0.2">
      <c r="A30" t="s">
        <v>56</v>
      </c>
      <c r="B30" t="s">
        <v>227</v>
      </c>
    </row>
    <row r="31" spans="1:5" x14ac:dyDescent="0.2">
      <c r="A31" t="s">
        <v>292</v>
      </c>
    </row>
    <row r="32" spans="1:5" x14ac:dyDescent="0.2">
      <c r="A32" t="s">
        <v>186</v>
      </c>
      <c r="B32" t="s">
        <v>191</v>
      </c>
    </row>
    <row r="33" spans="1:2" x14ac:dyDescent="0.2">
      <c r="A33" t="s">
        <v>186</v>
      </c>
      <c r="B33" t="s">
        <v>184</v>
      </c>
    </row>
    <row r="34" spans="1:2" x14ac:dyDescent="0.2">
      <c r="A34" t="s">
        <v>186</v>
      </c>
      <c r="B34" t="s">
        <v>230</v>
      </c>
    </row>
    <row r="35" spans="1:2" x14ac:dyDescent="0.2">
      <c r="A35" t="s">
        <v>293</v>
      </c>
    </row>
    <row r="36" spans="1:2" x14ac:dyDescent="0.2">
      <c r="A36" t="s">
        <v>183</v>
      </c>
      <c r="B36" t="s">
        <v>181</v>
      </c>
    </row>
    <row r="37" spans="1:2" x14ac:dyDescent="0.2">
      <c r="A37" t="s">
        <v>183</v>
      </c>
      <c r="B37" t="s">
        <v>237</v>
      </c>
    </row>
    <row r="38" spans="1:2" x14ac:dyDescent="0.2">
      <c r="A38" t="s">
        <v>183</v>
      </c>
      <c r="B38" t="s">
        <v>246</v>
      </c>
    </row>
    <row r="39" spans="1:2" x14ac:dyDescent="0.2">
      <c r="A39" t="s">
        <v>294</v>
      </c>
    </row>
    <row r="40" spans="1:2" x14ac:dyDescent="0.2">
      <c r="A40" t="s">
        <v>195</v>
      </c>
      <c r="B40" t="s">
        <v>194</v>
      </c>
    </row>
    <row r="41" spans="1:2" x14ac:dyDescent="0.2">
      <c r="A41" t="s">
        <v>195</v>
      </c>
      <c r="B41" t="s">
        <v>247</v>
      </c>
    </row>
    <row r="42" spans="1:2" x14ac:dyDescent="0.2">
      <c r="A42" t="s">
        <v>195</v>
      </c>
      <c r="B42" t="s">
        <v>223</v>
      </c>
    </row>
    <row r="43" spans="1:2" x14ac:dyDescent="0.2">
      <c r="A43" t="s">
        <v>295</v>
      </c>
    </row>
    <row r="44" spans="1:2" x14ac:dyDescent="0.2">
      <c r="A44" t="s">
        <v>63</v>
      </c>
      <c r="B44" t="s">
        <v>200</v>
      </c>
    </row>
    <row r="45" spans="1:2" x14ac:dyDescent="0.2">
      <c r="A45" t="s">
        <v>63</v>
      </c>
      <c r="B45" t="s">
        <v>235</v>
      </c>
    </row>
    <row r="46" spans="1:2" x14ac:dyDescent="0.2">
      <c r="A46" t="s">
        <v>63</v>
      </c>
      <c r="B46" t="s">
        <v>226</v>
      </c>
    </row>
    <row r="47" spans="1:2" x14ac:dyDescent="0.2">
      <c r="A47" t="s">
        <v>296</v>
      </c>
    </row>
    <row r="48" spans="1:2" x14ac:dyDescent="0.2">
      <c r="A48" t="s">
        <v>202</v>
      </c>
      <c r="B48" t="s">
        <v>201</v>
      </c>
    </row>
    <row r="49" spans="1:2" x14ac:dyDescent="0.2">
      <c r="A49" t="s">
        <v>202</v>
      </c>
      <c r="B49" t="s">
        <v>209</v>
      </c>
    </row>
    <row r="50" spans="1:2" x14ac:dyDescent="0.2">
      <c r="A50" t="s">
        <v>202</v>
      </c>
      <c r="B50" t="s">
        <v>224</v>
      </c>
    </row>
    <row r="51" spans="1:2" x14ac:dyDescent="0.2">
      <c r="A51" t="s">
        <v>297</v>
      </c>
    </row>
    <row r="52" spans="1:2" x14ac:dyDescent="0.2">
      <c r="A52" t="s">
        <v>11</v>
      </c>
      <c r="B52" t="s">
        <v>238</v>
      </c>
    </row>
    <row r="53" spans="1:2" x14ac:dyDescent="0.2">
      <c r="A53" t="s">
        <v>11</v>
      </c>
      <c r="B53" t="s">
        <v>179</v>
      </c>
    </row>
    <row r="54" spans="1:2" x14ac:dyDescent="0.2">
      <c r="A54" t="s">
        <v>11</v>
      </c>
      <c r="B54" t="s">
        <v>188</v>
      </c>
    </row>
    <row r="55" spans="1:2" x14ac:dyDescent="0.2">
      <c r="A55" t="s">
        <v>11</v>
      </c>
      <c r="B55" t="s">
        <v>193</v>
      </c>
    </row>
    <row r="56" spans="1:2" x14ac:dyDescent="0.2">
      <c r="A56" t="s">
        <v>11</v>
      </c>
      <c r="B56" t="s">
        <v>236</v>
      </c>
    </row>
    <row r="57" spans="1:2" x14ac:dyDescent="0.2">
      <c r="A57" t="s">
        <v>11</v>
      </c>
      <c r="B57" t="s">
        <v>217</v>
      </c>
    </row>
    <row r="58" spans="1:2" x14ac:dyDescent="0.2">
      <c r="A58" t="s">
        <v>298</v>
      </c>
    </row>
    <row r="59" spans="1:2" x14ac:dyDescent="0.2">
      <c r="A59" t="s">
        <v>215</v>
      </c>
      <c r="B59" t="s">
        <v>234</v>
      </c>
    </row>
    <row r="60" spans="1:2" x14ac:dyDescent="0.2">
      <c r="A60" t="s">
        <v>215</v>
      </c>
      <c r="B60" t="s">
        <v>229</v>
      </c>
    </row>
    <row r="61" spans="1:2" x14ac:dyDescent="0.2">
      <c r="A61" t="s">
        <v>215</v>
      </c>
      <c r="B61" t="s">
        <v>214</v>
      </c>
    </row>
    <row r="62" spans="1:2" x14ac:dyDescent="0.2">
      <c r="A62" t="s">
        <v>299</v>
      </c>
    </row>
    <row r="63" spans="1:2" x14ac:dyDescent="0.2">
      <c r="A63" t="s">
        <v>206</v>
      </c>
      <c r="B63" t="s">
        <v>205</v>
      </c>
    </row>
    <row r="64" spans="1:2" x14ac:dyDescent="0.2">
      <c r="A64" t="s">
        <v>206</v>
      </c>
      <c r="B64" t="s">
        <v>228</v>
      </c>
    </row>
    <row r="65" spans="1:2" x14ac:dyDescent="0.2">
      <c r="A65" t="s">
        <v>206</v>
      </c>
      <c r="B65" t="s">
        <v>245</v>
      </c>
    </row>
    <row r="66" spans="1:2" x14ac:dyDescent="0.2">
      <c r="A66" t="s">
        <v>300</v>
      </c>
    </row>
    <row r="67" spans="1:2" x14ac:dyDescent="0.2">
      <c r="A67" t="s">
        <v>199</v>
      </c>
      <c r="B67" t="s">
        <v>240</v>
      </c>
    </row>
    <row r="68" spans="1:2" x14ac:dyDescent="0.2">
      <c r="A68" t="s">
        <v>199</v>
      </c>
      <c r="B68" t="s">
        <v>198</v>
      </c>
    </row>
    <row r="69" spans="1:2" x14ac:dyDescent="0.2">
      <c r="A69" t="s">
        <v>199</v>
      </c>
      <c r="B69" t="s">
        <v>210</v>
      </c>
    </row>
    <row r="70" spans="1:2" x14ac:dyDescent="0.2">
      <c r="A70" t="s">
        <v>301</v>
      </c>
    </row>
    <row r="71" spans="1:2" x14ac:dyDescent="0.2">
      <c r="A71" t="s">
        <v>197</v>
      </c>
      <c r="B71" t="s">
        <v>196</v>
      </c>
    </row>
    <row r="72" spans="1:2" x14ac:dyDescent="0.2">
      <c r="A72" t="s">
        <v>302</v>
      </c>
    </row>
    <row r="73" spans="1:2" x14ac:dyDescent="0.2">
      <c r="A73" t="s">
        <v>162</v>
      </c>
    </row>
  </sheetData>
  <dataValidations count="1">
    <dataValidation type="list" allowBlank="1" showInputMessage="1" showErrorMessage="1" promptTitle="Select Driver" prompt="." sqref="I2" xr:uid="{7ED51537-8BA1-1C41-8072-DC9AAEADA941}">
      <formula1>$E$3:$E$19</formula1>
    </dataValidation>
  </dataValidation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CCB8-F0EE-F54A-A8BA-1E76222B46F8}">
  <dimension ref="A1:H5"/>
  <sheetViews>
    <sheetView workbookViewId="0">
      <selection activeCell="H5" sqref="A1:H5"/>
    </sheetView>
  </sheetViews>
  <sheetFormatPr baseColWidth="10" defaultRowHeight="16" x14ac:dyDescent="0.2"/>
  <cols>
    <col min="1" max="1" width="9.6640625" bestFit="1" customWidth="1"/>
    <col min="2" max="2" width="17" bestFit="1" customWidth="1"/>
    <col min="3" max="3" width="12.1640625" bestFit="1" customWidth="1"/>
    <col min="4" max="4" width="7.6640625" bestFit="1" customWidth="1"/>
    <col min="5" max="5" width="16.1640625" bestFit="1" customWidth="1"/>
    <col min="6" max="6" width="17" bestFit="1" customWidth="1"/>
    <col min="7" max="7" width="16.33203125" bestFit="1" customWidth="1"/>
  </cols>
  <sheetData>
    <row r="1" spans="1:8" ht="24" x14ac:dyDescent="0.3">
      <c r="A1" s="74"/>
      <c r="B1" s="75" t="s">
        <v>310</v>
      </c>
      <c r="C1" s="75" t="s">
        <v>311</v>
      </c>
      <c r="D1" s="75" t="s">
        <v>312</v>
      </c>
      <c r="E1" s="75" t="s">
        <v>318</v>
      </c>
      <c r="F1" s="75" t="s">
        <v>319</v>
      </c>
      <c r="G1" s="75" t="s">
        <v>313</v>
      </c>
      <c r="H1" s="74"/>
    </row>
    <row r="2" spans="1:8" ht="24" x14ac:dyDescent="0.3">
      <c r="A2" s="85" t="s">
        <v>314</v>
      </c>
      <c r="B2" s="86">
        <v>20000</v>
      </c>
      <c r="C2" s="87">
        <v>0.09</v>
      </c>
      <c r="D2" s="85">
        <v>12</v>
      </c>
      <c r="E2" s="86">
        <f>B2*C2</f>
        <v>1800</v>
      </c>
      <c r="F2" s="86">
        <f>B2+E2</f>
        <v>21800</v>
      </c>
      <c r="G2" s="86">
        <f>F2/D2</f>
        <v>1816.6666666666667</v>
      </c>
      <c r="H2" s="74"/>
    </row>
    <row r="3" spans="1:8" ht="24" x14ac:dyDescent="0.3">
      <c r="A3" s="85" t="s">
        <v>315</v>
      </c>
      <c r="B3" s="86">
        <v>20000</v>
      </c>
      <c r="C3" s="87">
        <v>0.08</v>
      </c>
      <c r="D3" s="85">
        <v>12</v>
      </c>
      <c r="E3" s="86">
        <f t="shared" ref="E3:E5" si="0">B3*C3</f>
        <v>1600</v>
      </c>
      <c r="F3" s="86">
        <f t="shared" ref="F3:F5" si="1">B3+E3</f>
        <v>21600</v>
      </c>
      <c r="G3" s="86">
        <f t="shared" ref="G3:G5" si="2">F3/D3</f>
        <v>1800</v>
      </c>
      <c r="H3" s="74"/>
    </row>
    <row r="4" spans="1:8" ht="24" x14ac:dyDescent="0.3">
      <c r="A4" s="85" t="s">
        <v>316</v>
      </c>
      <c r="B4" s="86">
        <v>20000</v>
      </c>
      <c r="C4" s="87">
        <v>7.0000000000000007E-2</v>
      </c>
      <c r="D4" s="85">
        <v>12</v>
      </c>
      <c r="E4" s="86">
        <f t="shared" si="0"/>
        <v>1400.0000000000002</v>
      </c>
      <c r="F4" s="86">
        <f t="shared" si="1"/>
        <v>21400</v>
      </c>
      <c r="G4" s="86">
        <f t="shared" si="2"/>
        <v>1783.3333333333333</v>
      </c>
      <c r="H4" s="74"/>
    </row>
    <row r="5" spans="1:8" ht="24" x14ac:dyDescent="0.3">
      <c r="A5" s="85" t="s">
        <v>317</v>
      </c>
      <c r="B5" s="86">
        <v>20000</v>
      </c>
      <c r="C5" s="87">
        <v>0.06</v>
      </c>
      <c r="D5" s="85">
        <v>12</v>
      </c>
      <c r="E5" s="86">
        <f t="shared" si="0"/>
        <v>1200</v>
      </c>
      <c r="F5" s="86">
        <f t="shared" si="1"/>
        <v>21200</v>
      </c>
      <c r="G5" s="86">
        <f t="shared" si="2"/>
        <v>1766.6666666666667</v>
      </c>
      <c r="H5" s="7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767A-E9E2-2048-AFAA-629B841D6CDD}">
  <dimension ref="A3:Y19"/>
  <sheetViews>
    <sheetView topLeftCell="D1" workbookViewId="0">
      <selection activeCell="G25" sqref="G25"/>
    </sheetView>
  </sheetViews>
  <sheetFormatPr baseColWidth="10" defaultRowHeight="22" x14ac:dyDescent="0.3"/>
  <cols>
    <col min="1" max="1" width="21.6640625" style="38" bestFit="1" customWidth="1"/>
    <col min="2" max="2" width="12" style="38" bestFit="1" customWidth="1"/>
    <col min="3" max="3" width="12.83203125" style="38" bestFit="1" customWidth="1"/>
    <col min="4" max="4" width="13.6640625" style="38" bestFit="1" customWidth="1"/>
    <col min="5" max="6" width="10.83203125" style="38"/>
    <col min="7" max="8" width="24.6640625" style="38" bestFit="1" customWidth="1"/>
    <col min="9" max="9" width="10.83203125" style="38"/>
    <col min="10" max="10" width="25.5" style="38" bestFit="1" customWidth="1"/>
    <col min="11" max="11" width="9.6640625" style="38" bestFit="1" customWidth="1"/>
    <col min="12" max="12" width="12" style="38" bestFit="1" customWidth="1"/>
    <col min="13" max="13" width="12.83203125" style="38" bestFit="1" customWidth="1"/>
    <col min="14" max="14" width="14" style="38" bestFit="1" customWidth="1"/>
    <col min="15" max="15" width="12.33203125" style="38" bestFit="1" customWidth="1"/>
    <col min="16" max="16" width="22.83203125" style="38" bestFit="1" customWidth="1"/>
    <col min="17" max="17" width="9.6640625" style="38" bestFit="1" customWidth="1"/>
    <col min="18" max="18" width="12" style="38" bestFit="1" customWidth="1"/>
    <col min="19" max="19" width="12.83203125" style="38" bestFit="1" customWidth="1"/>
    <col min="20" max="20" width="14" style="38" bestFit="1" customWidth="1"/>
    <col min="21" max="21" width="12.33203125" style="38" bestFit="1" customWidth="1"/>
    <col min="22" max="23" width="10.83203125" style="38"/>
    <col min="24" max="24" width="19" style="38" bestFit="1" customWidth="1"/>
    <col min="25" max="25" width="6.83203125" style="38" bestFit="1" customWidth="1"/>
    <col min="26" max="26" width="2.1640625" style="38" bestFit="1" customWidth="1"/>
    <col min="27" max="16384" width="10.83203125" style="38"/>
  </cols>
  <sheetData>
    <row r="3" spans="1:25" x14ac:dyDescent="0.3">
      <c r="A3" s="37" t="s">
        <v>350</v>
      </c>
      <c r="B3" s="37" t="s">
        <v>347</v>
      </c>
      <c r="C3" s="37" t="s">
        <v>346</v>
      </c>
      <c r="D3" s="37" t="s">
        <v>345</v>
      </c>
      <c r="G3" s="39" t="s">
        <v>349</v>
      </c>
      <c r="H3" s="39" t="s">
        <v>352</v>
      </c>
      <c r="J3" s="40" t="s">
        <v>349</v>
      </c>
      <c r="K3" s="40" t="s">
        <v>348</v>
      </c>
      <c r="L3" s="40" t="s">
        <v>347</v>
      </c>
      <c r="M3" s="40" t="s">
        <v>346</v>
      </c>
      <c r="N3" s="40" t="s">
        <v>345</v>
      </c>
      <c r="P3" s="40" t="s">
        <v>352</v>
      </c>
      <c r="Q3" s="40" t="s">
        <v>348</v>
      </c>
      <c r="R3" s="40" t="s">
        <v>347</v>
      </c>
      <c r="S3" s="40" t="s">
        <v>346</v>
      </c>
      <c r="T3" s="40" t="s">
        <v>345</v>
      </c>
      <c r="Y3" s="40"/>
    </row>
    <row r="4" spans="1:25" x14ac:dyDescent="0.3">
      <c r="A4" s="41" t="s">
        <v>340</v>
      </c>
      <c r="B4" s="42">
        <v>0.5</v>
      </c>
      <c r="C4" s="42">
        <v>0.4</v>
      </c>
      <c r="D4" s="42">
        <v>1.4</v>
      </c>
      <c r="G4" s="43" t="s">
        <v>343</v>
      </c>
      <c r="H4" s="43" t="s">
        <v>353</v>
      </c>
      <c r="J4" s="44" t="str">
        <f>MID(G4,FIND(" ",G4)+1,LEN(G4))</f>
        <v>Ball Point Pens</v>
      </c>
      <c r="K4" s="45" t="str">
        <f>LEFT(G4,FIND(" ",G4)-1)</f>
        <v>3</v>
      </c>
      <c r="L4" s="46">
        <f>VLOOKUP($J4,$A$4:$D$18,COLUMN(B4),TRUE)*$K4</f>
        <v>7.1999999999999993</v>
      </c>
      <c r="M4" s="46">
        <f>VLOOKUP($J4,$A$4:$D$18,COLUMN(C4),TRUE)*$K4</f>
        <v>4.1999999999999993</v>
      </c>
      <c r="N4" s="46">
        <f>VLOOKUP($J4,$A$4:$D$18,COLUMN(D4),TRUE)*$K4</f>
        <v>7.1999999999999993</v>
      </c>
      <c r="P4" s="44" t="str">
        <f>MID(H4,FIND(" ",H4)+1,LEN(H4))</f>
        <v>Ball Point Pens</v>
      </c>
      <c r="Q4" s="45" t="str">
        <f>LEFT(H4,FIND(" ",H4)-1)</f>
        <v>5</v>
      </c>
      <c r="R4" s="46">
        <f>VLOOKUP($P4,$A$4:$D$18,COLUMN(B4),TRUE)*$Q4</f>
        <v>12</v>
      </c>
      <c r="S4" s="46">
        <f>VLOOKUP($P4,$A$4:$D$18,COLUMN(C4),TRUE)*$Q4</f>
        <v>7</v>
      </c>
      <c r="T4" s="46">
        <f>VLOOKUP($P4,$A$4:$D$18,COLUMN(D4),TRUE)*$Q4</f>
        <v>12</v>
      </c>
    </row>
    <row r="5" spans="1:25" x14ac:dyDescent="0.3">
      <c r="A5" s="41" t="s">
        <v>333</v>
      </c>
      <c r="B5" s="42">
        <v>28</v>
      </c>
      <c r="C5" s="42">
        <v>33</v>
      </c>
      <c r="D5" s="42">
        <v>31</v>
      </c>
      <c r="G5" s="43" t="s">
        <v>341</v>
      </c>
      <c r="H5" s="43" t="s">
        <v>341</v>
      </c>
      <c r="J5" s="44" t="str">
        <f>MID(G5,FIND(" ",G5)+1,LEN(G5))</f>
        <v>TI-35 Calculator</v>
      </c>
      <c r="K5" s="45" t="str">
        <f>LEFT(G5,FIND(" ",G5)-1)</f>
        <v>1</v>
      </c>
      <c r="L5" s="46">
        <f>VLOOKUP($J5,$A$4:$D$18,COLUMN(B5),TRUE)*$K5</f>
        <v>1.75</v>
      </c>
      <c r="M5" s="46">
        <f>VLOOKUP($J5,$A$4:$D$18,COLUMN(C5),TRUE)*$K5</f>
        <v>2</v>
      </c>
      <c r="N5" s="46">
        <f>VLOOKUP($J5,$A$4:$D$18,COLUMN(D5),TRUE)*$K5</f>
        <v>1</v>
      </c>
      <c r="P5" s="44" t="str">
        <f>MID(H5,FIND(" ",H5)+1,LEN(H5))</f>
        <v>TI-35 Calculator</v>
      </c>
      <c r="Q5" s="45" t="str">
        <f>LEFT(H5,FIND(" ",H5)-1)</f>
        <v>1</v>
      </c>
      <c r="R5" s="46">
        <f>VLOOKUP($P5,$A$4:$D$18,COLUMN(B5),TRUE)*$Q5</f>
        <v>1.75</v>
      </c>
      <c r="S5" s="46">
        <f>VLOOKUP($P5,$A$4:$D$18,COLUMN(C5),TRUE)*$Q5</f>
        <v>2</v>
      </c>
      <c r="T5" s="46">
        <f>VLOOKUP($P5,$A$4:$D$18,COLUMN(D5),TRUE)*$Q5</f>
        <v>1</v>
      </c>
    </row>
    <row r="6" spans="1:25" x14ac:dyDescent="0.3">
      <c r="A6" s="41" t="s">
        <v>329</v>
      </c>
      <c r="B6" s="42">
        <v>1.8</v>
      </c>
      <c r="C6" s="42">
        <v>1</v>
      </c>
      <c r="D6" s="42">
        <v>2</v>
      </c>
      <c r="G6" s="43" t="s">
        <v>339</v>
      </c>
      <c r="H6" s="43" t="s">
        <v>354</v>
      </c>
      <c r="J6" s="44" t="str">
        <f>MID(G6,FIND(" ",G6)+1,LEN(G6))</f>
        <v>100 page notebooks</v>
      </c>
      <c r="K6" s="45" t="str">
        <f>LEFT(G6,FIND(" ",G6)-1)</f>
        <v>7</v>
      </c>
      <c r="L6" s="46">
        <f>VLOOKUP($J6,$A$4:$D$18,COLUMN(B6),TRUE)*$K6</f>
        <v>3.5</v>
      </c>
      <c r="M6" s="46">
        <f>VLOOKUP($J6,$A$4:$D$18,COLUMN(C6),TRUE)*$K6</f>
        <v>2.8000000000000003</v>
      </c>
      <c r="N6" s="46">
        <f>VLOOKUP($J6,$A$4:$D$18,COLUMN(D6),TRUE)*$K6</f>
        <v>9.7999999999999989</v>
      </c>
      <c r="P6" s="44" t="str">
        <f>MID(H6,FIND(" ",H6)+1,LEN(H6))</f>
        <v>100 page notebooks</v>
      </c>
      <c r="Q6" s="45" t="str">
        <f>LEFT(H6,FIND(" ",H6)-1)</f>
        <v>4</v>
      </c>
      <c r="R6" s="46">
        <f>VLOOKUP($P6,$A$4:$D$18,COLUMN(B6),TRUE)*$Q6</f>
        <v>2</v>
      </c>
      <c r="S6" s="46">
        <f>VLOOKUP($P6,$A$4:$D$18,COLUMN(C6),TRUE)*$Q6</f>
        <v>1.6</v>
      </c>
      <c r="T6" s="46">
        <f>VLOOKUP($P6,$A$4:$D$18,COLUMN(D6),TRUE)*$Q6</f>
        <v>5.6</v>
      </c>
    </row>
    <row r="7" spans="1:25" x14ac:dyDescent="0.3">
      <c r="A7" s="41" t="s">
        <v>338</v>
      </c>
      <c r="B7" s="42">
        <v>1.2</v>
      </c>
      <c r="C7" s="42">
        <v>0.8</v>
      </c>
      <c r="D7" s="42">
        <v>1.5</v>
      </c>
      <c r="G7" s="43" t="s">
        <v>360</v>
      </c>
      <c r="H7" s="43" t="s">
        <v>362</v>
      </c>
      <c r="J7" s="44" t="str">
        <f>MID(G7,FIND(" ",G7)+1,LEN(G7))</f>
        <v>8 oz Glue</v>
      </c>
      <c r="K7" s="45" t="str">
        <f>LEFT(G7,FIND(" ",G7)-1)</f>
        <v>1</v>
      </c>
      <c r="L7" s="46">
        <f>VLOOKUP($J7,$A$4:$D$18,COLUMN(B7),TRUE)*$K7</f>
        <v>1.2</v>
      </c>
      <c r="M7" s="46">
        <f>VLOOKUP($J7,$A$4:$D$18,COLUMN(C7),TRUE)*$K7</f>
        <v>0.8</v>
      </c>
      <c r="N7" s="46">
        <f>VLOOKUP($J7,$A$4:$D$18,COLUMN(D7),TRUE)*$K7</f>
        <v>1.5</v>
      </c>
      <c r="P7" s="44" t="str">
        <f>MID(H7,FIND(" ",H7)+1,LEN(H7))</f>
        <v>8 oz Glue</v>
      </c>
      <c r="Q7" s="45" t="str">
        <f>LEFT(H7,FIND(" ",H7)-1)</f>
        <v>2</v>
      </c>
      <c r="R7" s="46">
        <f>VLOOKUP($P7,$A$4:$D$18,COLUMN(B7),TRUE)*$Q7</f>
        <v>2.4</v>
      </c>
      <c r="S7" s="46">
        <f>VLOOKUP($P7,$A$4:$D$18,COLUMN(C7),TRUE)*$Q7</f>
        <v>1.6</v>
      </c>
      <c r="T7" s="46">
        <f>VLOOKUP($P7,$A$4:$D$18,COLUMN(D7),TRUE)*$Q7</f>
        <v>3</v>
      </c>
    </row>
    <row r="8" spans="1:25" x14ac:dyDescent="0.3">
      <c r="A8" s="41" t="s">
        <v>344</v>
      </c>
      <c r="B8" s="42">
        <v>2.4</v>
      </c>
      <c r="C8" s="42">
        <v>1.4</v>
      </c>
      <c r="D8" s="42">
        <v>2.4</v>
      </c>
      <c r="G8" s="43" t="s">
        <v>359</v>
      </c>
      <c r="H8" s="43" t="s">
        <v>359</v>
      </c>
      <c r="J8" s="44" t="str">
        <f>MID(G8,FIND(" ",G8)+1,LEN(G8))</f>
        <v>clear tape</v>
      </c>
      <c r="K8" s="45" t="str">
        <f>LEFT(G8,FIND(" ",G8)-1)</f>
        <v>2</v>
      </c>
      <c r="L8" s="46">
        <f>VLOOKUP($J8,$A$4:$D$18,COLUMN(B8),TRUE)*$K8</f>
        <v>1.8</v>
      </c>
      <c r="M8" s="46">
        <f>VLOOKUP($J8,$A$4:$D$18,COLUMN(C8),TRUE)*$K8</f>
        <v>0.4</v>
      </c>
      <c r="N8" s="46">
        <f>VLOOKUP($J8,$A$4:$D$18,COLUMN(D8),TRUE)*$K8</f>
        <v>1.6</v>
      </c>
      <c r="P8" s="44" t="str">
        <f>MID(H8,FIND(" ",H8)+1,LEN(H8))</f>
        <v>clear tape</v>
      </c>
      <c r="Q8" s="45" t="str">
        <f>LEFT(H8,FIND(" ",H8)-1)</f>
        <v>2</v>
      </c>
      <c r="R8" s="46">
        <f>VLOOKUP($P8,$A$4:$D$18,COLUMN(B8),TRUE)*$Q8</f>
        <v>1.8</v>
      </c>
      <c r="S8" s="46">
        <f>VLOOKUP($P8,$A$4:$D$18,COLUMN(C8),TRUE)*$Q8</f>
        <v>0.4</v>
      </c>
      <c r="T8" s="46">
        <f>VLOOKUP($P8,$A$4:$D$18,COLUMN(D8),TRUE)*$Q8</f>
        <v>1.6</v>
      </c>
    </row>
    <row r="9" spans="1:25" x14ac:dyDescent="0.3">
      <c r="A9" s="41" t="s">
        <v>337</v>
      </c>
      <c r="B9" s="42">
        <v>0.9</v>
      </c>
      <c r="C9" s="42">
        <v>0.2</v>
      </c>
      <c r="D9" s="42">
        <v>0.8</v>
      </c>
      <c r="G9" s="43" t="s">
        <v>335</v>
      </c>
      <c r="H9" s="43" t="s">
        <v>335</v>
      </c>
      <c r="J9" s="44" t="str">
        <f>MID(G9,FIND(" ",G9)+1,LEN(G9))</f>
        <v>Erasers</v>
      </c>
      <c r="K9" s="45" t="str">
        <f>LEFT(G9,FIND(" ",G9)-1)</f>
        <v>2</v>
      </c>
      <c r="L9" s="46">
        <f>VLOOKUP($J9,$A$4:$D$18,COLUMN(B9),TRUE)*$K9</f>
        <v>2.5</v>
      </c>
      <c r="M9" s="46">
        <f>VLOOKUP($J9,$A$4:$D$18,COLUMN(C9),TRUE)*$K9</f>
        <v>6.5</v>
      </c>
      <c r="N9" s="46">
        <f>VLOOKUP($J9,$A$4:$D$18,COLUMN(D9),TRUE)*$K9</f>
        <v>4.3</v>
      </c>
      <c r="P9" s="44" t="str">
        <f>MID(H9,FIND(" ",H9)+1,LEN(H9))</f>
        <v>Erasers</v>
      </c>
      <c r="Q9" s="45" t="str">
        <f>LEFT(H9,FIND(" ",H9)-1)</f>
        <v>2</v>
      </c>
      <c r="R9" s="46">
        <f>VLOOKUP($P9,$A$4:$D$18,COLUMN(B9),TRUE)*$Q9</f>
        <v>2.5</v>
      </c>
      <c r="S9" s="46">
        <f>VLOOKUP($P9,$A$4:$D$18,COLUMN(C9),TRUE)*$Q9</f>
        <v>6.5</v>
      </c>
      <c r="T9" s="46">
        <f>VLOOKUP($P9,$A$4:$D$18,COLUMN(D9),TRUE)*$Q9</f>
        <v>4.3</v>
      </c>
    </row>
    <row r="10" spans="1:25" x14ac:dyDescent="0.3">
      <c r="A10" s="41" t="s">
        <v>322</v>
      </c>
      <c r="B10" s="42">
        <v>0.99</v>
      </c>
      <c r="C10" s="42">
        <v>0.59</v>
      </c>
      <c r="D10" s="42">
        <v>2.59</v>
      </c>
      <c r="G10" s="43" t="s">
        <v>334</v>
      </c>
      <c r="H10" s="43" t="s">
        <v>334</v>
      </c>
      <c r="J10" s="44" t="str">
        <f>MID(G10,FIND(" ",G10)+1,LEN(G10))</f>
        <v>No. 2 Pencils</v>
      </c>
      <c r="K10" s="45" t="str">
        <f>LEFT(G10,FIND(" ",G10)-1)</f>
        <v>10</v>
      </c>
      <c r="L10" s="46">
        <f>VLOOKUP($J10,$A$4:$D$18,COLUMN(B10),TRUE)*$K10</f>
        <v>45.5</v>
      </c>
      <c r="M10" s="46">
        <f>VLOOKUP($J10,$A$4:$D$18,COLUMN(C10),TRUE)*$K10</f>
        <v>25.5</v>
      </c>
      <c r="N10" s="46">
        <f>VLOOKUP($J10,$A$4:$D$18,COLUMN(D10),TRUE)*$K10</f>
        <v>60</v>
      </c>
      <c r="P10" s="44" t="str">
        <f>MID(H10,FIND(" ",H10)+1,LEN(H10))</f>
        <v>No. 2 Pencils</v>
      </c>
      <c r="Q10" s="45" t="str">
        <f>LEFT(H10,FIND(" ",H10)-1)</f>
        <v>10</v>
      </c>
      <c r="R10" s="46">
        <f>VLOOKUP($P10,$A$4:$D$18,COLUMN(B10),TRUE)*$Q10</f>
        <v>45.5</v>
      </c>
      <c r="S10" s="46">
        <f>VLOOKUP($P10,$A$4:$D$18,COLUMN(C10),TRUE)*$Q10</f>
        <v>25.5</v>
      </c>
      <c r="T10" s="46">
        <f>VLOOKUP($P10,$A$4:$D$18,COLUMN(D10),TRUE)*$Q10</f>
        <v>60</v>
      </c>
    </row>
    <row r="11" spans="1:25" x14ac:dyDescent="0.3">
      <c r="A11" s="41" t="s">
        <v>336</v>
      </c>
      <c r="B11" s="42">
        <v>1.25</v>
      </c>
      <c r="C11" s="42">
        <v>3.25</v>
      </c>
      <c r="D11" s="42">
        <v>2.15</v>
      </c>
      <c r="G11" s="43" t="s">
        <v>332</v>
      </c>
      <c r="H11" s="43" t="s">
        <v>355</v>
      </c>
      <c r="J11" s="44" t="str">
        <f>MID(G11,FIND(" ",G11)+1,LEN(G11))</f>
        <v>2 inch binders</v>
      </c>
      <c r="K11" s="45" t="str">
        <f>LEFT(G11,FIND(" ",G11)-1)</f>
        <v>4</v>
      </c>
      <c r="L11" s="46">
        <f>VLOOKUP($J11,$A$4:$D$18,COLUMN(B11),TRUE)*$K11</f>
        <v>112</v>
      </c>
      <c r="M11" s="46">
        <f>VLOOKUP($J11,$A$4:$D$18,COLUMN(C11),TRUE)*$K11</f>
        <v>132</v>
      </c>
      <c r="N11" s="46">
        <f>VLOOKUP($J11,$A$4:$D$18,COLUMN(D11),TRUE)*$K11</f>
        <v>124</v>
      </c>
      <c r="P11" s="44" t="str">
        <f>MID(H11,FIND(" ",H11)+1,LEN(H11))</f>
        <v>2 inch binders</v>
      </c>
      <c r="Q11" s="45" t="str">
        <f>LEFT(H11,FIND(" ",H11)-1)</f>
        <v>1</v>
      </c>
      <c r="R11" s="46">
        <f>VLOOKUP($P11,$A$4:$D$18,COLUMN(B11),TRUE)*$Q11</f>
        <v>28</v>
      </c>
      <c r="S11" s="46">
        <f>VLOOKUP($P11,$A$4:$D$18,COLUMN(C11),TRUE)*$Q11</f>
        <v>33</v>
      </c>
      <c r="T11" s="46">
        <f>VLOOKUP($P11,$A$4:$D$18,COLUMN(D11),TRUE)*$Q11</f>
        <v>31</v>
      </c>
    </row>
    <row r="12" spans="1:25" x14ac:dyDescent="0.3">
      <c r="A12" s="41" t="s">
        <v>323</v>
      </c>
      <c r="B12" s="42">
        <v>9.5</v>
      </c>
      <c r="C12" s="42">
        <v>14</v>
      </c>
      <c r="D12" s="42">
        <v>13</v>
      </c>
      <c r="G12" s="43" t="s">
        <v>330</v>
      </c>
      <c r="H12" s="43" t="s">
        <v>330</v>
      </c>
      <c r="J12" s="44" t="str">
        <f>MID(G12,FIND(" ",G12)+1,LEN(G12))</f>
        <v>USB Stick 5gb</v>
      </c>
      <c r="K12" s="45" t="str">
        <f>LEFT(G12,FIND(" ",G12)-1)</f>
        <v>1</v>
      </c>
      <c r="L12" s="46">
        <f>VLOOKUP($J12,$A$4:$D$18,COLUMN(B12),TRUE)*$K12</f>
        <v>2</v>
      </c>
      <c r="M12" s="46">
        <f>VLOOKUP($J12,$A$4:$D$18,COLUMN(C12),TRUE)*$K12</f>
        <v>1</v>
      </c>
      <c r="N12" s="46">
        <f>VLOOKUP($J12,$A$4:$D$18,COLUMN(D12),TRUE)*$K12</f>
        <v>3</v>
      </c>
      <c r="P12" s="44" t="str">
        <f>MID(H12,FIND(" ",H12)+1,LEN(H12))</f>
        <v>USB Stick 5gb</v>
      </c>
      <c r="Q12" s="45" t="str">
        <f>LEFT(H12,FIND(" ",H12)-1)</f>
        <v>1</v>
      </c>
      <c r="R12" s="46">
        <f>VLOOKUP($P12,$A$4:$D$18,COLUMN(B12),TRUE)*$Q12</f>
        <v>2</v>
      </c>
      <c r="S12" s="46">
        <f>VLOOKUP($P12,$A$4:$D$18,COLUMN(C12),TRUE)*$Q12</f>
        <v>1</v>
      </c>
      <c r="T12" s="46">
        <f>VLOOKUP($P12,$A$4:$D$18,COLUMN(D12),TRUE)*$Q12</f>
        <v>3</v>
      </c>
    </row>
    <row r="13" spans="1:25" x14ac:dyDescent="0.3">
      <c r="A13" s="41" t="s">
        <v>356</v>
      </c>
      <c r="B13" s="42">
        <v>4.55</v>
      </c>
      <c r="C13" s="42">
        <v>2.5499999999999998</v>
      </c>
      <c r="D13" s="42">
        <v>6</v>
      </c>
      <c r="G13" s="43" t="s">
        <v>358</v>
      </c>
      <c r="H13" s="43" t="s">
        <v>358</v>
      </c>
      <c r="J13" s="44" t="str">
        <f>MID(G13,FIND(" ",G13)+1,LEN(G13))</f>
        <v>8 Color Markers</v>
      </c>
      <c r="K13" s="45" t="str">
        <f>LEFT(G13,FIND(" ",G13)-1)</f>
        <v>1</v>
      </c>
      <c r="L13" s="46">
        <f>VLOOKUP($J13,$A$4:$D$18,COLUMN(B13),TRUE)*$K13</f>
        <v>1.8</v>
      </c>
      <c r="M13" s="46">
        <f>VLOOKUP($J13,$A$4:$D$18,COLUMN(C13),TRUE)*$K13</f>
        <v>1</v>
      </c>
      <c r="N13" s="46">
        <f>VLOOKUP($J13,$A$4:$D$18,COLUMN(D13),TRUE)*$K13</f>
        <v>2</v>
      </c>
      <c r="P13" s="44" t="str">
        <f>MID(H13,FIND(" ",H13)+1,LEN(H13))</f>
        <v>8 Color Markers</v>
      </c>
      <c r="Q13" s="45" t="str">
        <f>LEFT(H13,FIND(" ",H13)-1)</f>
        <v>1</v>
      </c>
      <c r="R13" s="46">
        <f>VLOOKUP($P13,$A$4:$D$18,COLUMN(B13),TRUE)*$Q13</f>
        <v>1.8</v>
      </c>
      <c r="S13" s="46">
        <f>VLOOKUP($P13,$A$4:$D$18,COLUMN(C13),TRUE)*$Q13</f>
        <v>1</v>
      </c>
      <c r="T13" s="46">
        <f>VLOOKUP($P13,$A$4:$D$18,COLUMN(D13),TRUE)*$Q13</f>
        <v>2</v>
      </c>
    </row>
    <row r="14" spans="1:25" x14ac:dyDescent="0.3">
      <c r="A14" s="41" t="s">
        <v>327</v>
      </c>
      <c r="B14" s="42">
        <v>4.2</v>
      </c>
      <c r="C14" s="42">
        <v>2.2000000000000002</v>
      </c>
      <c r="D14" s="42">
        <v>3</v>
      </c>
      <c r="G14" s="43" t="s">
        <v>328</v>
      </c>
      <c r="H14" s="43" t="s">
        <v>361</v>
      </c>
      <c r="J14" s="44" t="str">
        <f>MID(G14,FIND(" ",G14)+1,LEN(G14))</f>
        <v>Stapler</v>
      </c>
      <c r="K14" s="45" t="str">
        <f>LEFT(G14,FIND(" ",G14)-1)</f>
        <v>1</v>
      </c>
      <c r="L14" s="46">
        <f>VLOOKUP($J14,$A$4:$D$18,COLUMN(B14),TRUE)*$K14</f>
        <v>1</v>
      </c>
      <c r="M14" s="46">
        <f>VLOOKUP($J14,$A$4:$D$18,COLUMN(C14),TRUE)*$K14</f>
        <v>2</v>
      </c>
      <c r="N14" s="46">
        <f>VLOOKUP($J14,$A$4:$D$18,COLUMN(D14),TRUE)*$K14</f>
        <v>1</v>
      </c>
      <c r="P14" s="44" t="str">
        <f>MID(H14,FIND(" ",H14)+1,LEN(H14))</f>
        <v>Liquid Paper</v>
      </c>
      <c r="Q14" s="45" t="str">
        <f>LEFT(H14,FIND(" ",H14)-1)</f>
        <v>2</v>
      </c>
      <c r="R14" s="46">
        <f>VLOOKUP($P14,$A$4:$D$18,COLUMN(B14),TRUE)*$Q14</f>
        <v>19</v>
      </c>
      <c r="S14" s="46">
        <f>VLOOKUP($P14,$A$4:$D$18,COLUMN(C14),TRUE)*$Q14</f>
        <v>28</v>
      </c>
      <c r="T14" s="46">
        <f>VLOOKUP($P14,$A$4:$D$18,COLUMN(D14),TRUE)*$Q14</f>
        <v>26</v>
      </c>
    </row>
    <row r="15" spans="1:25" x14ac:dyDescent="0.3">
      <c r="A15" s="41" t="s">
        <v>321</v>
      </c>
      <c r="B15" s="42">
        <v>3.9</v>
      </c>
      <c r="C15" s="42">
        <v>5</v>
      </c>
      <c r="D15" s="42">
        <v>8</v>
      </c>
      <c r="G15" s="43" t="s">
        <v>326</v>
      </c>
      <c r="H15" s="43"/>
      <c r="J15" s="44" t="str">
        <f>MID(G15,FIND(" ",G15)+1,LEN(G15))</f>
        <v>Planner Book</v>
      </c>
      <c r="K15" s="45" t="str">
        <f>LEFT(G15,FIND(" ",G15)-1)</f>
        <v>1</v>
      </c>
      <c r="L15" s="46">
        <f>VLOOKUP($J15,$A$4:$D$18,COLUMN(B15),TRUE)*$K15</f>
        <v>4.2</v>
      </c>
      <c r="M15" s="46">
        <f>VLOOKUP($J15,$A$4:$D$18,COLUMN(C15),TRUE)*$K15</f>
        <v>2.2000000000000002</v>
      </c>
      <c r="N15" s="46">
        <f>VLOOKUP($J15,$A$4:$D$18,COLUMN(D15),TRUE)*$K15</f>
        <v>3</v>
      </c>
      <c r="Q15" s="47" t="s">
        <v>351</v>
      </c>
      <c r="R15" s="48">
        <f>SUM(R4:R14)</f>
        <v>118.75</v>
      </c>
      <c r="S15" s="48">
        <f t="shared" ref="S15:T15" si="0">SUM(S4:S14)</f>
        <v>107.6</v>
      </c>
      <c r="T15" s="48">
        <f t="shared" si="0"/>
        <v>149.5</v>
      </c>
    </row>
    <row r="16" spans="1:25" x14ac:dyDescent="0.3">
      <c r="A16" s="41" t="s">
        <v>320</v>
      </c>
      <c r="B16" s="42">
        <v>1</v>
      </c>
      <c r="C16" s="42">
        <v>2</v>
      </c>
      <c r="D16" s="42">
        <v>1</v>
      </c>
      <c r="G16" s="43" t="s">
        <v>325</v>
      </c>
      <c r="H16" s="43"/>
      <c r="J16" s="44" t="str">
        <f>MID(G16,FIND(" ",G16)+1,LEN(G16))</f>
        <v>Protractor</v>
      </c>
      <c r="K16" s="45" t="str">
        <f>LEFT(G16,FIND(" ",G16)-1)</f>
        <v>1</v>
      </c>
      <c r="L16" s="46">
        <f>VLOOKUP($J16,$A$4:$D$18,COLUMN(B16),TRUE)*$K16</f>
        <v>3.9</v>
      </c>
      <c r="M16" s="46">
        <f>VLOOKUP($J16,$A$4:$D$18,COLUMN(C16),TRUE)*$K16</f>
        <v>5</v>
      </c>
      <c r="N16" s="46">
        <f>VLOOKUP($J16,$A$4:$D$18,COLUMN(D16),TRUE)*$K16</f>
        <v>8</v>
      </c>
    </row>
    <row r="17" spans="1:14" x14ac:dyDescent="0.3">
      <c r="A17" s="41" t="s">
        <v>342</v>
      </c>
      <c r="B17" s="42">
        <v>1.75</v>
      </c>
      <c r="C17" s="42">
        <v>2</v>
      </c>
      <c r="D17" s="42">
        <v>1</v>
      </c>
      <c r="G17" s="43" t="s">
        <v>324</v>
      </c>
      <c r="H17" s="43"/>
      <c r="J17" s="44" t="str">
        <f>MID(G17,FIND(" ",G17)+1,LEN(G17))</f>
        <v>Compass</v>
      </c>
      <c r="K17" s="45" t="str">
        <f>LEFT(G17,FIND(" ",G17)-1)</f>
        <v>1</v>
      </c>
      <c r="L17" s="46">
        <f>VLOOKUP($J17,$A$4:$D$18,COLUMN(B17),TRUE)*$K17</f>
        <v>0.99</v>
      </c>
      <c r="M17" s="46">
        <f>VLOOKUP($J17,$A$4:$D$18,COLUMN(C17),TRUE)*$K17</f>
        <v>0.59</v>
      </c>
      <c r="N17" s="46">
        <f>VLOOKUP($J17,$A$4:$D$18,COLUMN(D17),TRUE)*$K17</f>
        <v>2.59</v>
      </c>
    </row>
    <row r="18" spans="1:14" x14ac:dyDescent="0.3">
      <c r="A18" s="41" t="s">
        <v>331</v>
      </c>
      <c r="B18" s="42">
        <v>2</v>
      </c>
      <c r="C18" s="42">
        <v>1</v>
      </c>
      <c r="D18" s="42">
        <v>3</v>
      </c>
      <c r="G18" s="43" t="s">
        <v>357</v>
      </c>
      <c r="H18" s="43"/>
      <c r="J18" s="44" t="str">
        <f>MID(G18,FIND(" ",G18)+1,LEN(G18))</f>
        <v>Liquid Paper</v>
      </c>
      <c r="K18" s="45" t="str">
        <f>LEFT(G18,FIND(" ",G18)-1)</f>
        <v>1</v>
      </c>
      <c r="L18" s="46">
        <f>VLOOKUP($J18,$A$4:$D$18,COLUMN(B18),TRUE)*$K18</f>
        <v>9.5</v>
      </c>
      <c r="M18" s="46">
        <f>VLOOKUP($J18,$A$4:$D$18,COLUMN(C18),TRUE)*$K18</f>
        <v>14</v>
      </c>
      <c r="N18" s="46">
        <f>VLOOKUP($J18,$A$4:$D$18,COLUMN(D18),TRUE)*$K18</f>
        <v>13</v>
      </c>
    </row>
    <row r="19" spans="1:14" x14ac:dyDescent="0.3">
      <c r="K19" s="47" t="s">
        <v>351</v>
      </c>
      <c r="L19" s="48">
        <f>SUM(L4:L18)</f>
        <v>198.84</v>
      </c>
      <c r="M19" s="48">
        <f t="shared" ref="M19:N19" si="1">SUM(M4:M18)</f>
        <v>199.98999999999998</v>
      </c>
      <c r="N19" s="48">
        <f t="shared" si="1"/>
        <v>241.99</v>
      </c>
    </row>
  </sheetData>
  <sortState xmlns:xlrd2="http://schemas.microsoft.com/office/spreadsheetml/2017/richdata2" ref="A4:A18">
    <sortCondition ref="A4:A18"/>
  </sortState>
  <phoneticPr fontId="2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394A-40E1-B247-923B-AAC8C8426D9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employee_payroll</vt:lpstr>
      <vt:lpstr>payroll_extended</vt:lpstr>
      <vt:lpstr>marksheet</vt:lpstr>
      <vt:lpstr>Career_decider</vt:lpstr>
      <vt:lpstr>Customer Transcation</vt:lpstr>
      <vt:lpstr>cust.trans.pivot</vt:lpstr>
      <vt:lpstr>car_inventory</vt:lpstr>
      <vt:lpstr>car_inv_pivot</vt:lpstr>
      <vt:lpstr>loan_comparison</vt:lpstr>
      <vt:lpstr>budget_shopping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 Jose [Student-HSK]</cp:lastModifiedBy>
  <cp:lastPrinted>2024-10-10T16:45:28Z</cp:lastPrinted>
  <dcterms:created xsi:type="dcterms:W3CDTF">2024-10-10T15:59:12Z</dcterms:created>
  <dcterms:modified xsi:type="dcterms:W3CDTF">2024-10-15T05:48:27Z</dcterms:modified>
</cp:coreProperties>
</file>